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<sst xmlns="http://schemas.openxmlformats.org/spreadsheetml/2006/main" count="3697" uniqueCount="2997">
  <si>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</si>
  <si>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</si>
  <si>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</si>
  <si>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</si>
  <si>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</si>
  <si>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</si>
  <si>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</si>
  <si>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</si>
  <si>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</si>
  <si>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</si>
  <si>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</si>
  <si>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</si>
  <si>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</si>
  <si>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</si>
  <si>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</si>
  <si>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</si>
  <si>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</si>
  <si>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</si>
  <si>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</si>
  <si>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</si>
  <si>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</si>
  <si>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</si>
  <si>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</si>
  <si>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</si>
  <si>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</si>
  <si>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</si>
  <si>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</si>
  <si>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</si>
  <si>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</si>
  <si>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</si>
  <si>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</si>
  <si>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</si>
  <si>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</si>
  <si>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</si>
  <si>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</si>
  <si>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</si>
  <si>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</si>
  <si>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</si>
  <si>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</si>
  <si>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</si>
  <si>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</si>
  <si>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</si>
  <si>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</si>
  <si>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</si>
  <si>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</si>
  <si>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</si>
  <si>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</si>
  <si>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</si>
  <si>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</si>
  <si>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</si>
  <si>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</si>
  <si>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</si>
  <si>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</si>
  <si>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</si>
  <si>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</si>
  <si>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</si>
  <si>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</si>
  <si>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</si>
  <si>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</si>
  <si>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</si>
  <si>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</si>
  <si>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</si>
  <si>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</si>
  <si>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</si>
  <si>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</si>
  <si>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</si>
  <si>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</si>
  <si>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</si>
  <si>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</si>
  <si>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</si>
  <si>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</si>
  <si>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</si>
  <si>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</si>
  <si>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</si>
  <si>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</si>
  <si>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</si>
  <si>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</si>
  <si>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</si>
  <si>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</si>
  <si>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</si>
  <si>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</si>
  <si>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</si>
  <si>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</si>
  <si>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</si>
  <si>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</si>
  <si>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</si>
  <si>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</si>
  <si>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</si>
  <si>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</si>
  <si>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</si>
  <si>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</si>
  <si>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</si>
  <si>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</si>
  <si>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</si>
  <si>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</si>
  <si>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</si>
  <si>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</si>
  <si>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</si>
  <si>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</si>
  <si>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</si>
  <si>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</si>
  <si>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</si>
  <si>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</si>
  <si>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</si>
  <si>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</si>
  <si>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</si>
  <si>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</si>
  <si>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</si>
  <si>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</si>
  <si>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</si>
  <si>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</si>
  <si>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</si>
  <si>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</si>
  <si>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</si>
  <si>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</si>
  <si>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</si>
  <si>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</si>
  <si>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</si>
  <si>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</si>
  <si>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</si>
  <si>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</si>
  <si>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</si>
  <si>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</si>
  <si>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</si>
  <si>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</si>
  <si>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</si>
  <si>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</si>
  <si>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</si>
  <si>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</si>
  <si>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</si>
  <si>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</si>
  <si>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</si>
  <si>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</si>
  <si>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</si>
  <si>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</si>
  <si>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</si>
  <si>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</si>
  <si>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</si>
  <si>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</si>
  <si>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</si>
  <si>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</si>
  <si>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</si>
  <si>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</si>
  <si>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</si>
  <si>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</si>
  <si>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</si>
  <si>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</si>
  <si>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</si>
  <si>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</si>
  <si>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</si>
  <si>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</si>
  <si>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</si>
  <si>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</si>
  <si>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</si>
  <si>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</si>
  <si>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</si>
  <si>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</si>
  <si>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</si>
  <si>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</si>
  <si>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</si>
  <si>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</si>
  <si>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</si>
  <si>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</si>
  <si>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</si>
  <si>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</si>
  <si>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</si>
  <si>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</si>
  <si>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</si>
  <si>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</si>
  <si>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</si>
  <si>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</si>
  <si>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</si>
  <si>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</si>
  <si>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</si>
  <si>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</si>
  <si>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</si>
  <si>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</si>
  <si>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</si>
  <si>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</si>
  <si>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</si>
  <si>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</si>
  <si>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</si>
  <si>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</si>
  <si>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</si>
  <si>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</si>
  <si>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</si>
  <si>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</si>
  <si>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</si>
  <si>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</si>
  <si>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</si>
  <si>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</si>
  <si>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</si>
  <si>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</si>
  <si>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</si>
  <si>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</si>
  <si>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</si>
  <si>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</si>
  <si>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</si>
  <si>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</si>
  <si>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</si>
  <si>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</si>
  <si>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</si>
  <si>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</si>
  <si>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</si>
  <si>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</si>
  <si>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</si>
  <si>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</si>
  <si>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</si>
  <si>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</si>
  <si>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</si>
  <si>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</si>
  <si>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</si>
  <si>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</si>
  <si>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</si>
  <si>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</si>
  <si>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</si>
  <si>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</si>
  <si>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</si>
  <si>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</si>
  <si>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</si>
  <si>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</si>
  <si>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</si>
  <si>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</si>
  <si>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</si>
  <si>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</si>
  <si>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</si>
  <si>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</si>
  <si>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</si>
  <si>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</si>
  <si>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</si>
  <si>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</si>
  <si>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</si>
  <si>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</si>
  <si>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</si>
  <si>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</si>
  <si>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</si>
  <si>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</si>
  <si>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</si>
  <si>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</si>
  <si>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</si>
  <si>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</si>
  <si>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</si>
  <si>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</si>
  <si>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</si>
  <si>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</si>
  <si>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</si>
  <si>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</si>
  <si>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</si>
  <si>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</si>
  <si>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</si>
  <si>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</si>
  <si>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</si>
  <si>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</si>
  <si>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</si>
  <si>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</si>
  <si>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</si>
  <si>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</si>
  <si>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</si>
  <si>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</si>
  <si>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</si>
  <si>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</si>
  <si>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</si>
  <si>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</si>
  <si>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</si>
  <si>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</si>
  <si>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</si>
  <si>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</si>
  <si>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</si>
  <si>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</si>
  <si>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</si>
  <si>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</si>
  <si>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</si>
  <si>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</si>
  <si>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</si>
  <si>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</si>
  <si>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</si>
  <si>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</si>
  <si>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</si>
  <si>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</si>
  <si>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</si>
  <si>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</si>
  <si>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</si>
  <si>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</si>
  <si>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</si>
  <si>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</si>
  <si>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</si>
  <si>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</si>
  <si>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</si>
  <si>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</si>
  <si>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</si>
  <si>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</si>
  <si>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</si>
  <si>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</si>
  <si>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</si>
  <si>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</si>
  <si>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</si>
  <si>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</si>
  <si>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</si>
  <si>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</si>
  <si>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</si>
  <si>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</si>
  <si>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</si>
  <si>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</si>
  <si>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</si>
  <si>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</si>
  <si>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</si>
  <si>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</si>
  <si>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</si>
  <si>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</si>
  <si>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</si>
  <si>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</si>
  <si>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</si>
  <si>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</si>
  <si>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</si>
  <si>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</si>
  <si>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</si>
  <si>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</si>
  <si>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</si>
  <si>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</si>
  <si>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</si>
  <si>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</si>
  <si>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</si>
  <si>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</si>
  <si>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</si>
  <si>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</si>
  <si>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</si>
  <si>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</si>
  <si>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</si>
  <si>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</si>
  <si>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</si>
  <si>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</si>
  <si>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</si>
  <si>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</si>
  <si>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</si>
  <si>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</si>
  <si>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</si>
  <si>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</si>
  <si>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</si>
  <si>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</si>
  <si>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</si>
  <si>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</si>
  <si>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</si>
  <si>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</si>
  <si>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</si>
  <si>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</si>
  <si>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</si>
  <si>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</si>
  <si>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</si>
  <si>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</si>
  <si>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</si>
  <si>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</si>
  <si>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</si>
  <si>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</si>
  <si>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</si>
  <si>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</si>
  <si>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</si>
  <si>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</si>
  <si>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</si>
  <si>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</si>
  <si>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</si>
  <si>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</si>
  <si>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</si>
  <si>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</si>
  <si>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</si>
  <si>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</si>
  <si>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</si>
  <si>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</si>
  <si>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</si>
  <si>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</si>
  <si>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</si>
  <si>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</si>
  <si>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</si>
  <si>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</si>
  <si>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</si>
  <si>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</si>
  <si>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</si>
  <si>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</si>
  <si>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</si>
  <si>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</si>
  <si>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</si>
  <si>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</si>
  <si>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</si>
  <si>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</si>
  <si>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</si>
  <si>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</si>
  <si>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</si>
  <si>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</si>
  <si>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</si>
  <si>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</si>
  <si>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</si>
  <si>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</si>
  <si>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</si>
  <si>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</si>
  <si>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</si>
  <si>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</si>
  <si>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</si>
  <si>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</si>
  <si>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</si>
  <si>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</si>
  <si>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</si>
  <si>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</si>
  <si>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</si>
  <si>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</si>
  <si>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</si>
  <si>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</si>
  <si>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</si>
  <si>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</si>
  <si>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</si>
  <si>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</si>
  <si>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</si>
  <si>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</si>
  <si>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</si>
  <si>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</si>
  <si>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</si>
  <si>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</si>
  <si>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</si>
  <si>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</si>
  <si>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</si>
  <si>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</si>
  <si>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</si>
  <si>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</si>
  <si>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</si>
  <si>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</si>
  <si>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</si>
  <si>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</si>
  <si>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</si>
  <si>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</si>
  <si>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</si>
  <si>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</si>
  <si>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</si>
  <si>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</si>
  <si>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</si>
  <si>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</si>
  <si>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</si>
  <si>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</si>
  <si>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</si>
  <si>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</si>
  <si>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</si>
  <si>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</si>
  <si>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</si>
  <si>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</si>
  <si>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</si>
  <si>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</si>
  <si>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</si>
  <si>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</si>
  <si>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</si>
  <si>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</si>
  <si>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</si>
  <si>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</si>
  <si>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</si>
  <si>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</si>
  <si>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</si>
  <si>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</si>
  <si>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</si>
  <si>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</si>
  <si>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</si>
  <si>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</si>
  <si>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</si>
  <si>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</si>
  <si>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</si>
  <si>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</si>
  <si>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</si>
  <si>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</si>
  <si>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</si>
  <si>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</si>
  <si>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</si>
  <si>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</si>
  <si>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</si>
  <si>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</si>
  <si>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</si>
  <si>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</si>
  <si>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</si>
  <si>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</si>
  <si>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</si>
  <si>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</si>
  <si>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</si>
  <si>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</si>
  <si>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</si>
  <si>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</si>
  <si>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</si>
  <si>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</si>
  <si>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</si>
  <si>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</si>
  <si>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</si>
  <si>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</si>
  <si>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</si>
  <si>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</si>
  <si>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</si>
  <si>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</si>
  <si>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</si>
  <si>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</si>
  <si>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</si>
  <si>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</si>
  <si>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</si>
  <si>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</si>
  <si>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</si>
  <si>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</si>
  <si>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</si>
  <si>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</si>
  <si>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</si>
  <si>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</si>
  <si>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</si>
  <si>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</si>
  <si>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</si>
  <si>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</si>
  <si>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</si>
  <si>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</si>
  <si>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</si>
  <si>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</si>
  <si>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</si>
  <si>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</si>
  <si>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</si>
  <si>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</si>
  <si>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</si>
  <si>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</si>
  <si>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</si>
  <si>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</si>
  <si>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</si>
  <si>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</si>
  <si>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</si>
  <si>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</si>
  <si>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</si>
  <si>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</si>
  <si>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</si>
  <si>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</si>
  <si>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</si>
  <si>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</si>
  <si>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</si>
  <si>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</si>
  <si>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</si>
  <si>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</si>
  <si>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</si>
  <si>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</si>
  <si>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</si>
  <si>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</si>
  <si>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</si>
  <si>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</si>
  <si>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</si>
  <si>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</si>
  <si>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</si>
  <si>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</si>
  <si>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</si>
  <si>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</si>
  <si>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</si>
  <si>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</si>
  <si>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</si>
  <si>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</si>
  <si>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</si>
  <si>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</si>
  <si>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</si>
  <si>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</si>
  <si>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</si>
  <si>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</si>
  <si>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</si>
  <si>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</si>
  <si>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</si>
  <si>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</si>
  <si>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</si>
  <si>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</si>
  <si>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</si>
  <si>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</si>
  <si>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</si>
  <si>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</si>
  <si>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</si>
  <si>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</si>
  <si>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</si>
  <si>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</si>
  <si>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</si>
  <si>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</si>
  <si>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</si>
  <si>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</si>
  <si>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</si>
  <si>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</si>
  <si>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</si>
  <si>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</si>
  <si>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</si>
  <si>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</si>
  <si>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</si>
  <si>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</si>
  <si>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</si>
  <si>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</si>
  <si>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</si>
  <si>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</si>
  <si>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</si>
  <si>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</si>
  <si>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</si>
  <si>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</si>
  <si>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</si>
  <si>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</si>
  <si>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</si>
  <si>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</si>
  <si>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</si>
  <si>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</si>
  <si>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</si>
  <si>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</si>
  <si>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</si>
  <si>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</si>
  <si>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</si>
  <si>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</si>
  <si>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</si>
  <si>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</si>
  <si>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</si>
  <si>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</si>
  <si>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</si>
  <si>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</si>
  <si>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</si>
  <si>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</si>
  <si>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</si>
  <si>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</si>
  <si>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</si>
  <si>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</si>
  <si>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</si>
  <si>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</si>
  <si>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</si>
  <si>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</si>
  <si>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</si>
  <si>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</si>
  <si>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</si>
  <si>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</si>
  <si>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</si>
  <si>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</si>
  <si>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</si>
  <si>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</si>
  <si>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</si>
  <si>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</si>
  <si>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</si>
  <si>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</si>
  <si>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</si>
  <si>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</si>
  <si>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</si>
  <si>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</si>
  <si>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</si>
  <si>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</si>
  <si>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</si>
  <si>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</si>
  <si>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</si>
  <si>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</si>
  <si>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</si>
  <si>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</si>
  <si>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</si>
  <si>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</si>
  <si>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</si>
  <si>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</si>
  <si>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</si>
  <si>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</si>
  <si>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</si>
  <si>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</si>
  <si>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</si>
  <si>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</si>
  <si>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</si>
  <si>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</si>
  <si>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</si>
  <si>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</si>
  <si>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</si>
  <si>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</si>
  <si>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</si>
  <si>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</si>
  <si>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</si>
  <si>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</si>
  <si>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</si>
  <si>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</si>
  <si>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</si>
  <si>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</si>
  <si>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</si>
  <si>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</si>
  <si>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</si>
  <si>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</si>
  <si>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</si>
  <si>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</si>
  <si>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</si>
  <si>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</si>
  <si>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</si>
  <si>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</si>
  <si>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</si>
  <si>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</si>
  <si>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</si>
  <si>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</si>
  <si>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</si>
  <si>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</si>
  <si>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</si>
  <si>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</si>
  <si>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</si>
  <si>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</si>
  <si>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</si>
  <si>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</si>
  <si>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</si>
  <si>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</si>
  <si>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</si>
  <si>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</si>
  <si>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</si>
  <si>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</si>
  <si>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</si>
  <si>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</si>
  <si>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</si>
  <si>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</si>
  <si>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</si>
  <si>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</si>
  <si>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</si>
  <si>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</si>
  <si>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</si>
  <si>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</si>
  <si>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</si>
  <si>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</si>
  <si>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</si>
  <si>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</si>
  <si>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</si>
  <si>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</si>
  <si>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</si>
  <si>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</si>
  <si>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</si>
  <si>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</si>
  <si>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</si>
  <si>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</si>
  <si>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</si>
  <si>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</si>
  <si>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</si>
  <si>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</si>
  <si>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</si>
  <si>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</si>
  <si>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</si>
  <si>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</si>
  <si>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</si>
  <si>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</si>
  <si>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</si>
  <si>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</si>
  <si>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</si>
  <si>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</si>
  <si>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</si>
  <si>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</si>
  <si>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</si>
  <si>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</si>
  <si>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</si>
  <si>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</si>
  <si>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</si>
  <si>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</si>
  <si>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</si>
  <si>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</si>
  <si>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</si>
  <si>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</si>
  <si>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</si>
  <si>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</si>
  <si>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</si>
  <si>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</si>
  <si>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</si>
  <si>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</si>
  <si>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</si>
  <si>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</si>
  <si>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</si>
  <si>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</si>
  <si>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</si>
  <si>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</si>
  <si>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</si>
  <si>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</si>
  <si>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</si>
  <si>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</si>
  <si>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</si>
  <si>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</si>
  <si>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</si>
  <si>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</si>
  <si>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</si>
  <si>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</si>
  <si>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</si>
  <si>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</si>
  <si>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</si>
  <si>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</si>
  <si>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</si>
  <si>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</si>
  <si>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</si>
  <si>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</si>
  <si>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</si>
  <si>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</si>
  <si>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</si>
  <si>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</si>
  <si>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</si>
  <si>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</si>
  <si>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</si>
  <si>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</si>
  <si>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</si>
  <si>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</si>
  <si>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</si>
  <si>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</si>
  <si>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</si>
  <si>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</si>
  <si>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</si>
  <si>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</si>
  <si>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</si>
  <si>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</si>
  <si>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</si>
  <si>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</si>
  <si>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</si>
  <si>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</si>
  <si>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</si>
  <si>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</si>
  <si>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</si>
  <si>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</si>
  <si>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</si>
  <si>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</si>
  <si>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</si>
  <si>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</si>
  <si>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</si>
  <si>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</si>
  <si>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</si>
  <si>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</si>
  <si>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</si>
  <si>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</si>
  <si>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</si>
  <si>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</si>
  <si>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</si>
  <si>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</si>
  <si>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</si>
  <si>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</si>
  <si>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</si>
  <si>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</si>
  <si>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</si>
  <si>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</si>
  <si>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</si>
  <si>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</si>
  <si>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</si>
  <si>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</si>
  <si>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</si>
  <si>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</si>
  <si>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</si>
  <si>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</si>
  <si>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</si>
  <si>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</si>
  <si>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</si>
  <si>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</si>
  <si>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</si>
  <si>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</si>
  <si>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</si>
  <si>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</si>
  <si>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</si>
  <si>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</si>
  <si>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</si>
  <si>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</si>
  <si>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</si>
  <si>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</si>
  <si>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</si>
  <si>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</si>
  <si>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</si>
  <si>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</si>
  <si>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</si>
  <si>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</si>
  <si>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</si>
  <si>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</si>
  <si>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</si>
  <si>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</si>
  <si>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</si>
  <si>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</si>
  <si>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</si>
  <si>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</si>
  <si>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</si>
  <si>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</si>
  <si>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</si>
  <si>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</si>
  <si>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</si>
  <si>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</si>
  <si>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</si>
  <si>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</si>
  <si>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</si>
  <si>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</si>
  <si>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</si>
  <si>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</si>
  <si>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</si>
  <si>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</si>
  <si>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</si>
  <si>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</si>
  <si>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</si>
  <si>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</si>
  <si>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</si>
  <si>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</si>
  <si>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</si>
  <si>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</si>
  <si>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</si>
  <si>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</si>
  <si>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</si>
  <si>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</si>
  <si>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</si>
  <si>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</si>
  <si>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</si>
  <si>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</si>
  <si>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</si>
  <si>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</si>
  <si>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</si>
  <si>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</si>
  <si>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</si>
  <si>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</si>
  <si>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</si>
  <si>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</si>
  <si>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</si>
  <si>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</si>
  <si>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</si>
  <si>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</si>
  <si>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</si>
  <si>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</si>
  <si>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</si>
  <si>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</si>
  <si>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</si>
  <si>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</si>
  <si>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</si>
  <si>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</si>
  <si>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</si>
  <si>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</si>
  <si>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</si>
  <si>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</si>
  <si>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</si>
  <si>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</si>
  <si>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</si>
  <si>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</si>
  <si>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</si>
  <si>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</si>
  <si>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</si>
  <si>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</si>
  <si>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</si>
  <si>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</si>
  <si>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</si>
  <si>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</si>
  <si>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</si>
  <si>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</si>
  <si>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</si>
  <si>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</si>
  <si>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</si>
  <si>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</si>
  <si>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</si>
  <si>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</si>
  <si>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</si>
  <si>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</si>
  <si>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</si>
  <si>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</si>
  <si>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</si>
  <si>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</si>
  <si>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</si>
  <si>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</si>
  <si>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</si>
  <si>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</si>
  <si>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</si>
  <si>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</si>
  <si>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</si>
  <si>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</si>
  <si>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</si>
  <si>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</si>
  <si>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</si>
  <si>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</si>
  <si>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</si>
  <si>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</si>
  <si>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</si>
  <si>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</si>
  <si>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</si>
  <si>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</si>
  <si>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</si>
  <si>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</si>
  <si>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</si>
  <si>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</si>
  <si>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</si>
  <si>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</si>
  <si>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</si>
  <si>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</si>
  <si>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</si>
  <si>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</si>
  <si>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</si>
  <si>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</si>
  <si>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</si>
  <si>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</si>
  <si>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</si>
  <si>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</si>
  <si>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</si>
  <si>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</si>
  <si>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</si>
  <si>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</si>
  <si>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</si>
  <si>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</si>
  <si>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</si>
  <si>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</si>
  <si>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</si>
  <si>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</si>
  <si>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</si>
  <si>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</si>
  <si>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</si>
  <si>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</si>
  <si>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</si>
  <si>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</si>
  <si>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</si>
  <si>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</si>
  <si>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</si>
  <si>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</si>
  <si>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</si>
  <si>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</si>
  <si>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</si>
  <si>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</si>
  <si>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</si>
  <si>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</si>
  <si>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</si>
  <si>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</si>
  <si>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</si>
  <si>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</si>
  <si>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</si>
  <si>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</si>
  <si>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</si>
  <si>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</si>
  <si>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</si>
  <si>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</si>
  <si>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</si>
  <si>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</si>
  <si>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</si>
  <si>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</si>
  <si>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</si>
  <si>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</si>
  <si>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</si>
  <si>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</si>
  <si>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</si>
  <si>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</si>
  <si>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</si>
  <si>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</si>
  <si>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</si>
  <si>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</si>
  <si>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</si>
  <si>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</si>
  <si>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</si>
  <si>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</si>
  <si>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</si>
  <si>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</si>
  <si>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</si>
  <si>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</si>
  <si>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</si>
  <si>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</si>
  <si>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</si>
  <si>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</si>
  <si>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</si>
  <si>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</si>
  <si>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</si>
  <si>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</si>
  <si>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</si>
  <si>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</si>
  <si>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</si>
  <si>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</si>
  <si>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</si>
  <si>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</si>
  <si>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</si>
  <si>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</si>
  <si>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</si>
  <si>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</si>
  <si>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</si>
  <si>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</si>
  <si>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</si>
  <si>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</si>
  <si>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</si>
  <si>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</si>
  <si>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</si>
  <si>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</si>
  <si>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</si>
  <si>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</si>
  <si>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</si>
  <si>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</si>
  <si>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</si>
  <si>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</si>
  <si>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</si>
  <si>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</si>
  <si>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</si>
  <si>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</si>
  <si>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</si>
  <si>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</si>
  <si>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</si>
  <si>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</si>
  <si>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</si>
  <si>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</si>
  <si>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</si>
  <si>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</si>
  <si>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</si>
  <si>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</si>
  <si>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</si>
  <si>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</si>
  <si>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</si>
  <si>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</si>
  <si>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</si>
  <si>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</si>
  <si>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</si>
  <si>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</si>
  <si>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</si>
  <si>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</si>
  <si>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</si>
  <si>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</si>
  <si>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</si>
  <si>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</si>
  <si>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</si>
  <si>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</si>
  <si>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</si>
  <si>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</si>
  <si>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</si>
  <si>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</si>
  <si>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</si>
  <si>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</si>
  <si>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</si>
  <si>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</si>
  <si>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</si>
  <si>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</si>
  <si>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</si>
  <si>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</si>
  <si>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</si>
  <si>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</si>
  <si>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</si>
  <si>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</si>
  <si>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</si>
  <si>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</si>
  <si>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</si>
  <si>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</si>
  <si>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</si>
  <si>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</si>
  <si>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</si>
  <si>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</si>
  <si>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</si>
  <si>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</si>
  <si>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</si>
  <si>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</si>
  <si>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</si>
  <si>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</si>
  <si>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</si>
  <si>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</si>
  <si>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</si>
  <si>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</si>
  <si>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</si>
  <si>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</si>
  <si>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</si>
  <si>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</si>
  <si>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</si>
  <si>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</si>
  <si>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</si>
  <si>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</si>
  <si>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</si>
  <si>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</si>
  <si>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</si>
  <si>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</si>
  <si>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</si>
  <si>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</si>
  <si>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</si>
  <si>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</si>
  <si>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</si>
  <si>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</si>
  <si>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</si>
  <si>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</si>
  <si>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</si>
  <si>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</si>
  <si>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</si>
  <si>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</si>
  <si>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</si>
  <si>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</si>
  <si>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</si>
  <si>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</si>
  <si>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</si>
  <si>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</si>
  <si>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</si>
  <si>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</si>
  <si>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</si>
  <si>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</si>
  <si>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</si>
  <si>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</si>
  <si>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</si>
  <si>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</si>
  <si>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</si>
  <si>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</si>
  <si>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</si>
  <si>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</si>
  <si>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</si>
  <si>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</si>
  <si>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</si>
  <si>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</si>
  <si>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</si>
  <si>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</si>
  <si>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</si>
  <si>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</si>
  <si>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</si>
  <si>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</si>
  <si>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</si>
  <si>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</si>
  <si>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</si>
  <si>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</si>
  <si>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</si>
  <si>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</si>
  <si>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</si>
  <si>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</si>
  <si>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</si>
  <si>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</si>
  <si>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</si>
  <si>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</si>
  <si>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</si>
  <si>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</si>
  <si>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</si>
  <si>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</si>
  <si>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</si>
  <si>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</si>
  <si>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</si>
  <si>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</si>
  <si>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</si>
  <si>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</si>
  <si>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</si>
  <si>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</si>
  <si>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</si>
  <si>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</si>
  <si>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</si>
  <si>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</si>
  <si>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</si>
  <si>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</si>
  <si>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</si>
  <si>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</si>
  <si>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</si>
  <si>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</si>
  <si>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</si>
  <si>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</si>
  <si>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</si>
  <si>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</si>
  <si>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</si>
  <si>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</si>
  <si>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</si>
  <si>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</si>
  <si>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</si>
  <si>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</si>
  <si>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</si>
  <si>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</si>
  <si>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</si>
  <si>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</si>
  <si>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</si>
  <si>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</si>
  <si>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</si>
  <si>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</si>
  <si>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</si>
  <si>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</si>
  <si>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</si>
  <si>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</si>
  <si>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</si>
  <si>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</si>
  <si>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</si>
  <si>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</si>
  <si>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</si>
  <si>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</si>
  <si>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</si>
  <si>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</si>
  <si>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</si>
  <si>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</si>
  <si>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</si>
  <si>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</si>
  <si>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</si>
  <si>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</si>
  <si>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</si>
  <si>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</si>
  <si>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</si>
  <si>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</si>
  <si>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</si>
  <si>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</si>
  <si>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</si>
  <si>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</si>
  <si>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</si>
  <si>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</si>
  <si>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</si>
  <si>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</si>
  <si>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</si>
  <si>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</si>
  <si>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</si>
  <si>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</si>
  <si>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</si>
  <si>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</si>
  <si>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</si>
  <si>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</si>
  <si>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</si>
  <si>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</si>
  <si>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</si>
  <si>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</si>
  <si>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</si>
  <si>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</si>
  <si>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</si>
  <si>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</si>
  <si>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</si>
  <si>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</si>
  <si>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</si>
  <si>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</si>
  <si>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</si>
  <si>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</si>
  <si>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</si>
  <si>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</si>
  <si>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</si>
  <si>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</si>
  <si>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</si>
  <si>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</si>
  <si>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</si>
  <si>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</si>
  <si>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</si>
  <si>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</si>
  <si>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</si>
  <si>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</si>
  <si>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</si>
  <si>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</si>
  <si>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</si>
  <si>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</si>
  <si>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</si>
  <si>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</si>
  <si>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</si>
  <si>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</si>
  <si>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</si>
  <si>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</si>
  <si>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</si>
  <si>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</si>
  <si>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</si>
  <si>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</si>
  <si>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</si>
  <si>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</si>
  <si>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</si>
  <si>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</si>
  <si>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</si>
  <si>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</si>
  <si>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</si>
  <si>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</si>
  <si>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</si>
  <si>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</si>
  <si>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</si>
  <si>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</si>
  <si>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</si>
  <si>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</si>
  <si>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</si>
  <si>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</si>
  <si>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</si>
  <si>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</si>
  <si>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</si>
  <si>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</si>
  <si>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</si>
  <si>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</si>
  <si>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</si>
  <si>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</si>
  <si>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</si>
  <si>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</si>
  <si>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</si>
  <si>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</si>
  <si>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</si>
  <si>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</si>
  <si>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</si>
  <si>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</si>
  <si>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</si>
  <si>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</si>
  <si>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</si>
  <si>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</si>
  <si>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</si>
  <si>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</si>
  <si>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</si>
  <si>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</si>
  <si>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</si>
  <si>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</si>
  <si>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</si>
  <si>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</si>
  <si>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</si>
  <si>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</si>
  <si>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</si>
  <si>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</si>
  <si>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</si>
  <si>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</si>
  <si>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</si>
  <si>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</si>
  <si>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</si>
  <si>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</si>
  <si>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</si>
  <si>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</si>
  <si>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</si>
  <si>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</si>
  <si>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</si>
  <si>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</si>
  <si>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</si>
  <si>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</si>
  <si>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</si>
  <si>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</si>
  <si>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</si>
  <si>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</si>
  <si>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</si>
  <si>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</si>
  <si>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</si>
  <si>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</si>
  <si>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</si>
  <si>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</si>
  <si>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</si>
  <si>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</si>
  <si>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</si>
  <si>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</si>
  <si>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</si>
  <si>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</si>
  <si>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</si>
  <si>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</si>
  <si>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</si>
  <si>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</si>
  <si>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</si>
  <si>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</si>
  <si>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</si>
  <si>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</si>
  <si>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</si>
  <si>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</si>
  <si>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</si>
  <si>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</si>
  <si>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</si>
  <si>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</si>
  <si>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</si>
  <si>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</si>
  <si>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</si>
  <si>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</si>
  <si>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</si>
  <si>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</si>
  <si>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</si>
  <si>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</si>
  <si>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</si>
  <si>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</si>
  <si>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</si>
  <si>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</si>
  <si>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</si>
  <si>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</si>
  <si>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</si>
  <si>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</si>
  <si>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</si>
  <si>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</si>
  <si>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</si>
  <si>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</si>
  <si>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</si>
  <si>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</si>
  <si>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</si>
  <si>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</si>
  <si>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</si>
  <si>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</si>
  <si>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</si>
  <si>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</si>
  <si>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</si>
  <si>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</si>
  <si>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</si>
  <si>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</si>
  <si>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</si>
  <si>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</si>
  <si>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</si>
  <si>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</si>
  <si>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</si>
  <si>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</si>
  <si>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</si>
  <si>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</si>
  <si>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</si>
  <si>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</si>
  <si>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</si>
  <si>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</si>
  <si>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</si>
  <si>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</si>
  <si>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</si>
  <si>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</si>
  <si>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</si>
  <si>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</si>
  <si>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</si>
  <si>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</si>
  <si>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</si>
  <si>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</si>
  <si>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</si>
  <si>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</si>
  <si>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</si>
  <si>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</si>
  <si>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</si>
  <si>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</si>
  <si>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</si>
  <si>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</si>
  <si>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</si>
  <si>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</si>
  <si>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</si>
  <si>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</si>
  <si>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</si>
  <si>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</si>
  <si>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</si>
  <si>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</si>
  <si>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</si>
  <si>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</si>
  <si>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</si>
  <si>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</si>
  <si>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</si>
  <si>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</si>
  <si>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</si>
  <si>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</si>
  <si>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</si>
  <si>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</si>
  <si>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</si>
  <si>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</si>
  <si>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</si>
  <si>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</si>
  <si>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</si>
  <si>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</si>
  <si>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</si>
  <si>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</si>
  <si>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</si>
  <si>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</si>
  <si>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</si>
  <si>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</si>
  <si>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</si>
  <si>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</si>
  <si>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</si>
  <si>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</si>
  <si>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</si>
  <si>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</si>
  <si>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</si>
  <si>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</si>
  <si>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</si>
  <si>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</si>
  <si>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</si>
  <si>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</si>
  <si>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</si>
  <si>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</si>
  <si>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</si>
  <si>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</si>
  <si>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</si>
  <si>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</si>
  <si>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</si>
  <si>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</si>
  <si>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</si>
  <si>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</si>
  <si>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</si>
  <si>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</si>
  <si>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</si>
  <si>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</si>
  <si>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</si>
  <si>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</si>
  <si>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</si>
  <si>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</si>
  <si>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</si>
  <si>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</si>
  <si>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</si>
  <si>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</si>
  <si>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</si>
  <si>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</si>
  <si>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</si>
  <si>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</si>
  <si>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</si>
  <si>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</si>
  <si>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</si>
  <si>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</si>
  <si>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</si>
  <si>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</si>
  <si>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</si>
  <si>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</si>
  <si>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</si>
  <si>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</si>
  <si>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</si>
  <si>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</si>
  <si>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</si>
  <si>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</si>
  <si>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</si>
  <si>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</si>
  <si>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</si>
  <si>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</si>
  <si>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</si>
  <si>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</si>
  <si>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</si>
  <si>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</si>
  <si>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</si>
  <si>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</si>
  <si>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</si>
  <si>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</si>
  <si>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</si>
  <si>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</si>
  <si>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</si>
  <si>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</si>
  <si>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</si>
  <si>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</si>
  <si>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</si>
  <si>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</si>
  <si>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</si>
  <si>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</si>
  <si>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</si>
  <si>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</si>
  <si>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</si>
  <si>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</si>
  <si>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</si>
  <si>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</si>
  <si>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</si>
  <si>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</si>
  <si>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</si>
  <si>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</si>
  <si>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</si>
  <si>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</si>
  <si>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</si>
  <si>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</si>
  <si>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</si>
  <si>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</si>
  <si>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</si>
  <si>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</si>
  <si>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</si>
  <si>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</si>
  <si>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</si>
  <si>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</si>
  <si>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</si>
  <si>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</si>
  <si>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</si>
  <si>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</si>
  <si>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</si>
  <si>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</si>
  <si>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</si>
  <si>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</si>
  <si>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</si>
  <si>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</si>
  <si>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</si>
  <si>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</si>
  <si>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</si>
  <si>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</si>
  <si>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</si>
  <si>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</si>
  <si>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</si>
  <si>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</si>
  <si>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</si>
  <si>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</si>
  <si>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</si>
  <si>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</si>
  <si>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</si>
  <si>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</si>
  <si>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</si>
  <si>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</si>
  <si>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</si>
  <si>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</si>
  <si>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</si>
  <si>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</si>
  <si>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</si>
  <si>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</si>
  <si>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</si>
  <si>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</si>
  <si>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</si>
  <si>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</si>
  <si>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</si>
  <si>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</si>
  <si>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</si>
  <si>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</si>
  <si>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</si>
  <si>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</si>
  <si>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</si>
  <si>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</si>
  <si>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</si>
  <si>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</si>
  <si>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</si>
  <si>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</si>
  <si>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</si>
  <si>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</si>
  <si>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</si>
  <si>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</si>
  <si>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</si>
  <si>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</si>
  <si>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</si>
  <si>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</si>
  <si>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</si>
  <si>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</si>
  <si>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</si>
  <si>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</si>
  <si>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</si>
  <si>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</si>
  <si>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</si>
  <si>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</si>
  <si>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</si>
  <si>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</si>
  <si>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</si>
  <si>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</si>
  <si>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</si>
  <si>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</si>
  <si>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</si>
  <si>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</si>
  <si>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</si>
  <si>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</si>
  <si>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</si>
  <si>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</si>
  <si>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</si>
  <si>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</si>
  <si>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</si>
  <si>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</si>
  <si>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</si>
  <si>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</si>
  <si>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</si>
  <si>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</si>
  <si>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</si>
  <si>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</si>
  <si>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</si>
  <si>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</si>
  <si>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</si>
  <si>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</si>
  <si>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</si>
  <si>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</si>
  <si>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</si>
  <si>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</si>
  <si>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</si>
  <si>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</si>
  <si>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</si>
  <si>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</si>
  <si>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</si>
  <si>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</si>
  <si>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</si>
  <si>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</si>
  <si>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</si>
  <si>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</si>
  <si>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</si>
  <si>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</si>
  <si>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</si>
  <si>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</si>
  <si>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</si>
  <si>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</si>
  <si>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</si>
  <si>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</si>
  <si>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</si>
  <si>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</si>
  <si>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</si>
  <si>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</si>
  <si>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</si>
  <si>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</si>
  <si>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</si>
  <si>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</si>
  <si>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</si>
  <si>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</si>
  <si>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</si>
  <si>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</si>
  <si>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</si>
  <si>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</si>
  <si>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</si>
  <si>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</si>
  <si>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</si>
  <si>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</si>
  <si>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</si>
  <si>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</si>
  <si>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</si>
  <si>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</si>
  <si>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</si>
  <si>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</si>
  <si>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</si>
  <si>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</si>
  <si>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</si>
  <si>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</si>
  <si>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</si>
  <si>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</si>
  <si>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</si>
  <si>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</si>
  <si>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</si>
  <si>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</si>
  <si>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</si>
  <si>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</si>
  <si>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</si>
  <si>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</si>
  <si>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</si>
  <si>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</si>
  <si>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</si>
  <si>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</si>
  <si>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</si>
  <si>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</si>
  <si>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</si>
  <si>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</si>
  <si>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</si>
  <si>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</si>
  <si>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</si>
  <si>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</si>
  <si>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</si>
  <si>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</si>
  <si>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</si>
  <si>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</si>
  <si>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</si>
  <si>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</si>
  <si>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</si>
  <si>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</si>
  <si>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</si>
  <si>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</si>
  <si>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</si>
  <si>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</si>
  <si>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</si>
  <si>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</si>
  <si>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</si>
  <si>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</si>
  <si>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</si>
  <si>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</si>
  <si>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</si>
  <si>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</si>
  <si>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</si>
  <si>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</si>
  <si>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</si>
  <si>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</si>
  <si>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</si>
  <si>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</si>
  <si>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</si>
  <si>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</si>
  <si>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</si>
  <si>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</si>
  <si>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</si>
  <si>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</si>
  <si>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</si>
  <si>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</si>
  <si>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</si>
  <si>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</si>
  <si>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</si>
  <si>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</si>
  <si>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</si>
  <si>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</si>
  <si>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</si>
  <si>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</si>
  <si>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</si>
  <si>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</si>
  <si>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</si>
  <si>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</si>
  <si>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</si>
  <si>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</si>
  <si>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</si>
  <si>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</si>
  <si>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</si>
  <si>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</si>
  <si>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</si>
  <si>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</si>
  <si>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</si>
  <si>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</si>
  <si>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</si>
  <si>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</si>
  <si>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</si>
  <si>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</si>
  <si>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</si>
  <si>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</si>
  <si>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</si>
  <si>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</si>
  <si>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</si>
  <si>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</si>
  <si>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</si>
  <si>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</si>
  <si>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</si>
  <si>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</si>
  <si>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</si>
  <si>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</si>
  <si>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</si>
  <si>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</si>
  <si>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</si>
  <si>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</si>
  <si>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</si>
  <si>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</si>
  <si>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</si>
  <si>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</si>
  <si>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</si>
  <si>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</si>
  <si>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</si>
  <si>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</si>
  <si>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</si>
  <si>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</si>
  <si>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</si>
  <si>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</si>
  <si>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</si>
  <si>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</si>
  <si>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</si>
  <si>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</si>
  <si>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</si>
  <si>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</si>
  <si>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</si>
  <si>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</si>
  <si>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</si>
  <si>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</si>
  <si>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</si>
  <si>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</si>
  <si>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</si>
  <si>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</si>
  <si>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</si>
  <si>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</si>
  <si>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</si>
  <si>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</si>
  <si>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</si>
  <si>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</si>
  <si>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</si>
  <si>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</si>
  <si>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</si>
  <si>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</si>
  <si>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</si>
  <si>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</si>
  <si>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</si>
  <si>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</si>
  <si>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</si>
  <si>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</si>
  <si>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</si>
  <si>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</si>
  <si>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</si>
  <si>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</si>
  <si>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</si>
  <si>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</si>
  <si>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</si>
  <si>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</si>
  <si>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</si>
  <si>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</si>
  <si>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</si>
  <si>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</si>
  <si>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</si>
  <si>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</si>
  <si>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</si>
  <si>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</si>
  <si>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</si>
  <si>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</si>
  <si>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</si>
  <si>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</si>
  <si>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</si>
  <si>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</si>
  <si>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</si>
  <si>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</si>
  <si>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</si>
  <si>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</si>
  <si>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</si>
  <si>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</si>
  <si>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</si>
  <si>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</si>
  <si>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</si>
  <si>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</si>
  <si>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</si>
  <si>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</si>
  <si>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</si>
  <si>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</si>
  <si>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</si>
  <si>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</si>
  <si>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</si>
  <si>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</si>
  <si>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</si>
  <si>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</si>
  <si>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</si>
  <si>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</si>
  <si>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</si>
  <si>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</si>
  <si>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</si>
  <si>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</si>
  <si>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</si>
  <si>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</si>
  <si>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</si>
  <si>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</si>
  <si>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</si>
  <si>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</si>
  <si>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</si>
  <si>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</si>
  <si>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</si>
  <si>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</si>
  <si>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</si>
  <si>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</si>
  <si>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</si>
  <si>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</si>
  <si>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</si>
  <si>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</si>
  <si>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</si>
  <si>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</si>
  <si>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</si>
  <si>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</si>
  <si>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</si>
  <si>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</si>
  <si>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</si>
  <si>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</si>
  <si>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</si>
  <si>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</si>
  <si>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</si>
  <si>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</si>
  <si>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</si>
  <si>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</si>
  <si>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</si>
  <si>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</si>
  <si>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</si>
  <si>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</si>
  <si>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</si>
  <si>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</si>
  <si>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</si>
  <si>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</si>
  <si>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</si>
  <si>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</si>
  <si>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</si>
  <si>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</si>
  <si>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</si>
  <si>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</si>
  <si>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</si>
  <si>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</si>
  <si>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</si>
  <si>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</si>
  <si>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</si>
  <si>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</si>
  <si>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</si>
  <si>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</si>
  <si>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</si>
  <si>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</si>
  <si>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</si>
  <si>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</si>
  <si>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</si>
  <si>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</si>
  <si>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</si>
  <si>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</si>
  <si>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</si>
  <si>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</si>
  <si>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</si>
  <si>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</si>
  <si>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</si>
  <si>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</si>
  <si>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</si>
  <si>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</si>
  <si>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</si>
  <si>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</si>
  <si>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</si>
  <si>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</si>
  <si>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</si>
  <si>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</si>
  <si>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</si>
  <si>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</si>
  <si>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</si>
  <si>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</si>
  <si>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</si>
  <si>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</si>
  <si>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</si>
  <si>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</si>
  <si>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</si>
  <si>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</si>
  <si>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</si>
  <si>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</si>
  <si>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</si>
  <si>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</si>
  <si>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</si>
  <si>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</si>
  <si>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</si>
  <si>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</si>
  <si>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</si>
  <si>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</si>
  <si>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</si>
  <si>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</si>
  <si>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</si>
  <si>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</si>
  <si>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</si>
  <si>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</si>
  <si>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</si>
  <si>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</si>
  <si>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</si>
  <si>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</si>
  <si>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</si>
  <si>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</si>
  <si>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</si>
  <si>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</si>
  <si>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</si>
  <si>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</si>
  <si>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</si>
  <si>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</si>
  <si>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</si>
  <si>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</si>
  <si>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</si>
  <si>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</si>
  <si>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</si>
  <si>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</si>
  <si>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</si>
  <si>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</si>
  <si>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</si>
  <si>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</si>
  <si>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</si>
  <si>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</si>
  <si>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</si>
  <si>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</si>
  <si>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</si>
  <si>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</si>
  <si>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</si>
  <si>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</si>
  <si>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</si>
  <si>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</si>
  <si>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</si>
  <si>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</si>
  <si>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</si>
  <si>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</si>
  <si>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</si>
  <si>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</si>
  <si>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</si>
  <si>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</si>
  <si>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</si>
  <si>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</si>
  <si>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</si>
  <si>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</si>
  <si>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</si>
  <si>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</si>
  <si>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</si>
  <si>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</si>
  <si>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</si>
  <si>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</si>
  <si>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</si>
  <si>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</si>
  <si>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</si>
  <si>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</si>
  <si>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</si>
  <si>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</si>
  <si>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</si>
  <si>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</si>
  <si>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</si>
  <si>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</si>
  <si>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</si>
  <si>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</si>
  <si>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</si>
  <si>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</si>
  <si>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</si>
  <si>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</si>
  <si>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</si>
  <si>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</si>
  <si>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</si>
  <si>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</si>
  <si>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</si>
  <si>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</si>
  <si>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</si>
  <si>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</si>
  <si>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</si>
  <si>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</si>
  <si>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</si>
  <si>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</si>
  <si>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</si>
  <si>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</si>
  <si>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</si>
  <si>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</si>
  <si>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</si>
  <si>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</si>
  <si>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</si>
  <si>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</si>
  <si>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</si>
  <si>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</si>
  <si>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</si>
  <si>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</si>
  <si>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</si>
  <si>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</si>
  <si>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</si>
  <si>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</si>
  <si>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</si>
  <si>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</si>
  <si>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</si>
  <si>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</si>
  <si>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</si>
  <si>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</si>
  <si>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</si>
  <si>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</si>
  <si>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</si>
  <si>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</si>
  <si>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</si>
  <si>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</si>
  <si>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</si>
  <si>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</si>
  <si>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</si>
  <si>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</si>
  <si>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</si>
  <si>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</si>
  <si>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</si>
  <si>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</si>
  <si>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</si>
  <si>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</si>
  <si>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</si>
  <si>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</si>
  <si>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</si>
  <si>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</si>
  <si>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</si>
  <si>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</si>
  <si>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</si>
  <si>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</si>
  <si>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</si>
  <si>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</si>
  <si>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</si>
  <si>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</si>
  <si>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</si>
  <si>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</si>
  <si>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</si>
  <si>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</si>
  <si>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</si>
  <si>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</si>
  <si>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</si>
  <si>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</si>
  <si>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</si>
  <si>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</si>
  <si>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</si>
  <si>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</si>
  <si>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</si>
  <si>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</si>
  <si>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</si>
  <si>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</si>
  <si>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</si>
  <si>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</si>
  <si>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</si>
  <si>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</si>
  <si>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</si>
  <si>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</si>
  <si>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</si>
  <si>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</si>
  <si>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</si>
  <si>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</si>
  <si>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</si>
  <si>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</si>
  <si>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</si>
  <si>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</si>
  <si>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</si>
  <si>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</si>
  <si>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</si>
  <si>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</si>
  <si>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</si>
  <si>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</si>
  <si>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</si>
  <si>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</si>
  <si>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</si>
  <si>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</si>
  <si>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</si>
  <si>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</si>
  <si>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</si>
  <si>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</si>
  <si>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</si>
  <si>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</si>
  <si>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</si>
  <si>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</si>
  <si>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</si>
  <si>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</si>
  <si>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</si>
  <si>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</si>
  <si>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</si>
  <si>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</si>
  <si>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</si>
  <si>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</si>
  <si>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</si>
  <si>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</si>
  <si>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</si>
  <si>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</si>
  <si>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</si>
  <si>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</si>
  <si>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</si>
  <si>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</si>
  <si>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</si>
  <si>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</si>
  <si>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</si>
  <si>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</si>
  <si>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</si>
  <si>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</si>
  <si>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</si>
  <si>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</si>
  <si>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</si>
  <si>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</si>
  <si>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</si>
  <si>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</si>
  <si>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</si>
  <si>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</si>
  <si>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</si>
  <si>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</si>
  <si>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</si>
  <si>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</si>
  <si>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</si>
  <si>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</si>
  <si>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</si>
  <si>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</si>
  <si>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</si>
  <si>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</si>
  <si>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</si>
  <si>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</si>
  <si>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</si>
  <si>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</si>
  <si>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</si>
  <si>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</si>
  <si>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</si>
  <si>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</si>
  <si>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</si>
  <si>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</si>
  <si>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</si>
  <si>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</si>
  <si>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</si>
  <si>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</si>
  <si>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</si>
  <si>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</si>
  <si>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</si>
  <si>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</si>
  <si>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</si>
  <si>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</si>
  <si>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</si>
  <si>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</si>
  <si>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</si>
  <si>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</si>
  <si>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</si>
  <si>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</si>
  <si>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</si>
  <si>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</si>
  <si>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</si>
  <si>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</si>
  <si>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</si>
  <si>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</si>
  <si>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</si>
  <si>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</si>
  <si>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</si>
  <si>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</si>
  <si>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</si>
  <si>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</si>
  <si>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</si>
  <si>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</si>
  <si>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</si>
  <si>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</si>
  <si>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</si>
  <si>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</si>
  <si>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</si>
  <si>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</si>
  <si>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</si>
  <si>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</si>
  <si>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</si>
  <si>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</si>
  <si>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</si>
  <si>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</si>
  <si>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</si>
  <si>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</si>
  <si>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</si>
  <si>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</si>
  <si>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</si>
  <si>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</si>
  <si>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</si>
  <si>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</si>
  <si>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</si>
  <si>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</si>
  <si>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</si>
  <si>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</si>
  <si>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</si>
  <si>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</si>
  <si>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</si>
  <si>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</si>
  <si>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</si>
  <si>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</si>
  <si>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</si>
  <si>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</si>
  <si>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</si>
  <si>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</si>
  <si>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</si>
  <si>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</si>
  <si>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</si>
  <si>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</si>
  <si>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</si>
  <si>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</si>
  <si>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</si>
  <si>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</si>
  <si>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</si>
  <si>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</si>
  <si>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</si>
  <si>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</si>
  <si>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</si>
  <si>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</si>
  <si>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</si>
  <si>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</si>
  <si>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</si>
  <si>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</si>
  <si>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</si>
  <si>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</si>
  <si>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</si>
  <si>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</si>
  <si>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</si>
  <si>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</si>
  <si>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</si>
  <si>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</si>
  <si>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</si>
  <si>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</si>
  <si>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</si>
  <si>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</si>
  <si>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</si>
  <si>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</si>
  <si>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</si>
  <si>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</si>
  <si>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</si>
  <si>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</si>
  <si>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</si>
  <si>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</si>
  <si>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</si>
  <si>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</si>
  <si>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</si>
  <si>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</si>
  <si>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</si>
  <si>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</si>
  <si>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</si>
  <si>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</si>
  <si>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</si>
  <si>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</si>
  <si>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</si>
  <si>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</si>
  <si>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</si>
  <si>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</si>
  <si>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</si>
  <si>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</si>
  <si>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</si>
  <si>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</si>
  <si>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</si>
  <si>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</si>
  <si>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</si>
  <si>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</si>
  <si>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</si>
  <si>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</si>
  <si>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</si>
  <si>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</si>
  <si>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</si>
  <si>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</si>
  <si>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</si>
  <si>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</si>
  <si>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</si>
  <si>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</si>
  <si>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</si>
  <si>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</si>
  <si>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</si>
  <si>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</si>
  <si>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</si>
  <si>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</si>
  <si>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</si>
  <si>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</si>
  <si>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</si>
  <si>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</si>
  <si>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</si>
  <si>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</si>
  <si>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</si>
  <si>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</si>
  <si>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</si>
  <si>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</si>
  <si>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</si>
  <si>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</si>
  <si>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</si>
  <si>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</si>
  <si>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</si>
  <si>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</si>
  <si>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</si>
  <si>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</si>
  <si>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</si>
  <si>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</si>
  <si>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</si>
  <si>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</si>
  <si>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</si>
  <si>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</si>
  <si>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</si>
  <si>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</si>
  <si>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</si>
  <si>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</si>
  <si>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</si>
  <si>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</si>
  <si>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</si>
  <si>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</si>
  <si>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</si>
  <si>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</si>
  <si>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</si>
  <si>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</si>
  <si>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</si>
  <si>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</si>
  <si>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</si>
  <si>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</si>
  <si>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</si>
  <si>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</si>
  <si>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</si>
  <si>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</si>
  <si>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</si>
  <si>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</si>
  <si>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</si>
  <si>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</si>
  <si>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</si>
  <si>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</si>
  <si>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</si>
  <si>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</si>
  <si>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</si>
  <si>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</si>
  <si>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</si>
  <si>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</si>
  <si>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</si>
  <si>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</si>
  <si>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</si>
  <si>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</si>
  <si>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</si>
  <si>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</si>
  <si>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</si>
  <si>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</si>
  <si>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</si>
  <si>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</si>
  <si>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</si>
  <si>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</si>
  <si>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</si>
  <si>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</si>
  <si>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</si>
  <si>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</si>
  <si>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</si>
  <si>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</si>
  <si>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</si>
  <si>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</si>
  <si>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</si>
  <si>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</si>
  <si>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</si>
  <si>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</si>
  <si>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</si>
  <si>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</si>
  <si>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</si>
  <si>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</si>
  <si>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</si>
  <si>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</si>
  <si>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</si>
  <si>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</si>
  <si>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</si>
  <si>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</si>
  <si>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</si>
  <si>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</si>
  <si>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</si>
  <si>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</si>
  <si>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</si>
  <si>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</si>
  <si>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</si>
  <si>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</si>
  <si>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</si>
  <si>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</si>
  <si>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</si>
  <si>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</si>
  <si>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</si>
  <si>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</si>
  <si>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</si>
  <si>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</si>
  <si>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</si>
  <si>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</si>
  <si>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</si>
  <si>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</si>
  <si>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</si>
  <si>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</si>
  <si>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</si>
  <si>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</si>
  <si>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</si>
  <si>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</si>
  <si>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</si>
  <si>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</si>
  <si>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</si>
  <si>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</si>
  <si>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</si>
  <si>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</si>
  <si>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</si>
  <si>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</si>
  <si>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</si>
  <si>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</si>
  <si>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</si>
  <si>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</si>
  <si>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</si>
  <si>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</si>
  <si>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</si>
  <si>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</si>
  <si>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</si>
  <si>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</si>
  <si>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</si>
  <si>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</si>
  <si>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</si>
  <si>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</si>
  <si>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</si>
  <si>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</si>
  <si>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</si>
  <si>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</si>
  <si>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</si>
  <si>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</si>
  <si>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</si>
  <si>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</si>
  <si>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</si>
  <si>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</si>
  <si>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</si>
  <si>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</si>
  <si>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</si>
  <si>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</si>
  <si>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</si>
  <si>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</si>
  <si>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</si>
  <si>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</si>
  <si>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</si>
  <si>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</si>
  <si>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</si>
  <si>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</si>
  <si>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</si>
  <si>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</si>
  <si>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</si>
  <si>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</si>
  <si>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</si>
  <si>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</si>
  <si>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</si>
  <si>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</si>
  <si>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</si>
  <si>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</si>
  <si>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</si>
  <si>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</si>
  <si>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</si>
  <si>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</si>
  <si>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</si>
  <si>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</si>
  <si>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</si>
  <si>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</si>
  <si>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</si>
  <si>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</si>
  <si>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</si>
  <si>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</si>
  <si>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</si>
  <si>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</si>
  <si>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</si>
  <si>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</si>
  <si>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</si>
  <si>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</si>
  <si>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</si>
  <si>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</si>
  <si>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</si>
  <si>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</si>
  <si>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</si>
  <si>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</si>
  <si>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</si>
  <si>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</si>
  <si>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</si>
  <si>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</si>
  <si>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</si>
  <si>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</si>
  <si>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</si>
  <si>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</si>
  <si>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</si>
  <si>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</si>
  <si>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</si>
  <si>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</si>
  <si>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</si>
  <si>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</si>
  <si>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</si>
  <si>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</si>
  <si>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</si>
  <si>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</si>
  <si>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</si>
  <si>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</si>
  <si>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</si>
  <si>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</si>
  <si>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</si>
  <si>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</si>
  <si>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</si>
  <si>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</si>
  <si>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</si>
  <si>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</si>
  <si>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</si>
  <si>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</si>
  <si>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</si>
  <si>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</si>
  <si>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</si>
  <si>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</si>
  <si>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</si>
  <si>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</si>
  <si>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</si>
  <si>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</si>
  <si>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</si>
  <si>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</si>
  <si>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</si>
  <si>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</si>
  <si>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</si>
  <si>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</si>
  <si>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</si>
  <si>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</si>
  <si>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</si>
  <si>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</si>
  <si>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</si>
  <si>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</si>
  <si>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</si>
  <si>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</si>
  <si>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</si>
  <si>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</si>
  <si>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</si>
  <si>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</si>
  <si>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</si>
  <si>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</si>
  <si>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</si>
  <si>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</si>
  <si>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</si>
  <si>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</si>
  <si>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</si>
  <si>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</si>
  <si>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</si>
  <si>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</si>
  <si>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</si>
  <si>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</si>
  <si>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</si>
  <si>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</si>
  <si>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</si>
  <si>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</si>
  <si>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</si>
  <si>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</si>
  <si>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</si>
  <si>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</si>
  <si>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</si>
  <si>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</si>
  <si>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</si>
  <si>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</si>
  <si>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</si>
  <si>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</si>
  <si>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</si>
  <si>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</si>
  <si>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</si>
  <si>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</si>
  <si>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</si>
  <si>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</si>
  <si>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</si>
  <si>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</si>
  <si>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</si>
  <si>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</si>
  <si>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</si>
  <si>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</si>
  <si>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</si>
  <si>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</si>
  <si>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</si>
  <si>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</si>
  <si>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</si>
  <si>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</si>
  <si>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</si>
  <si>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</si>
  <si>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</si>
  <si>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</si>
  <si>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</si>
  <si>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</si>
  <si>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</si>
  <si>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</si>
  <si>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</si>
  <si>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</si>
  <si>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</si>
  <si>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</si>
  <si>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</si>
  <si>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</si>
  <si>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</si>
  <si>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</si>
  <si>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</si>
  <si>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</si>
  <si>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</si>
  <si>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</si>
  <si>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</si>
  <si>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</si>
  <si>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</si>
  <si>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</si>
  <si>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</si>
  <si>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</si>
  <si>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</si>
  <si>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</si>
  <si>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</si>
  <si>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</si>
  <si>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</si>
  <si>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</si>
  <si>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</si>
  <si>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</si>
  <si>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</si>
  <si>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</si>
  <si>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</si>
  <si>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</si>
  <si>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</si>
  <si>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</si>
  <si>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</si>
  <si>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</si>
  <si>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</si>
  <si>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</si>
  <si>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</si>
  <si>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</si>
  <si>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</si>
  <si>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</si>
  <si>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</si>
  <si>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</si>
  <si>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</si>
  <si>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</si>
  <si>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</si>
  <si>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</si>
  <si>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</si>
  <si>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</si>
  <si>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</si>
  <si>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</si>
  <si>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</si>
  <si>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</si>
  <si>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</si>
  <si>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</si>
  <si>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</si>
  <si>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</si>
  <si>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</si>
  <si>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</si>
  <si>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</si>
  <si>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</si>
  <si>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</si>
  <si>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</si>
  <si>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</si>
  <si>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</si>
  <si>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</si>
  <si>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</si>
  <si>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</si>
  <si>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</si>
  <si>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</si>
  <si>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</si>
  <si>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</si>
  <si>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</si>
  <si>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</si>
  <si>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</si>
  <si>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</si>
  <si>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</si>
  <si>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</si>
  <si>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</si>
  <si>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</si>
  <si>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</si>
  <si>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</si>
  <si>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</si>
  <si>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</si>
  <si>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</si>
  <si>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</si>
  <si>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</si>
  <si>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</si>
  <si>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</si>
  <si>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</si>
  <si>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</si>
  <si>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</si>
  <si>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</si>
  <si>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</si>
  <si>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</si>
  <si>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</si>
  <si>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</si>
  <si>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</si>
  <si>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</si>
  <si>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</si>
  <si>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</si>
  <si>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</si>
  <si>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</si>
  <si>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</si>
  <si>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</si>
  <si>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</si>
  <si>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</si>
  <si>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</si>
  <si>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</si>
  <si>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</si>
  <si>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</si>
  <si>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</si>
  <si>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</si>
  <si>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</si>
  <si>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</si>
  <si>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</si>
  <si>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</si>
  <si>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</si>
  <si>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</si>
  <si>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</si>
  <si>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</si>
  <si>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</si>
  <si>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</si>
  <si>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</si>
  <si>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</si>
  <si>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</si>
  <si>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</si>
  <si>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</si>
  <si>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</si>
  <si>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</si>
  <si>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</si>
  <si>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</si>
  <si>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</si>
  <si>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</si>
  <si>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</si>
  <si>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</si>
  <si>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</si>
  <si>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</si>
  <si>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</si>
  <si>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</si>
  <si>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</si>
  <si>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</si>
  <si>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</si>
  <si>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</si>
  <si>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</si>
  <si>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</si>
  <si>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</si>
  <si>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</si>
  <si>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</si>
  <si>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</si>
  <si>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</si>
  <si>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</si>
  <si>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</si>
  <si>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</si>
  <si>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</si>
  <si>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</si>
  <si>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</si>
  <si>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</si>
  <si>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</si>
  <si>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</si>
  <si>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</si>
  <si>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</si>
  <si>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</si>
  <si>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</si>
  <si>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</si>
  <si>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</si>
  <si>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</si>
  <si>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</si>
  <si>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</si>
  <si>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</si>
  <si>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</si>
  <si>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</si>
  <si>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</si>
  <si>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</si>
  <si>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</si>
  <si>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</si>
  <si>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</si>
  <si>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</si>
  <si>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</si>
  <si>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</si>
  <si>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</si>
  <si>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</si>
  <si>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</si>
  <si>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</si>
  <si>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</si>
  <si>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</si>
  <si>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</si>
  <si>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</si>
  <si>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</si>
  <si>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</si>
  <si>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</si>
  <si>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</si>
  <si>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</si>
  <si>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</si>
  <si>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</si>
  <si>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</si>
  <si>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</si>
  <si>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</si>
  <si>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</si>
  <si>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</si>
  <si>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</si>
  <si>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</si>
  <si>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</si>
  <si>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</si>
  <si>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</si>
  <si>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</si>
  <si>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</si>
  <si>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</si>
  <si>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</si>
  <si>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</si>
  <si>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</si>
  <si>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</si>
  <si>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</si>
  <si>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</si>
  <si>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</si>
  <si>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</si>
  <si>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</si>
  <si>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</si>
  <si>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</si>
  <si>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</si>
  <si>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</si>
  <si>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</si>
  <si>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</si>
  <si>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</si>
  <si>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</si>
  <si>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</si>
  <si>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</si>
  <si>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</si>
  <si>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</si>
  <si>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</si>
  <si>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</si>
  <si>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</si>
  <si>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</si>
  <si>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</si>
  <si>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</si>
  <si>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</si>
  <si>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</si>
  <si>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</si>
  <si>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</si>
  <si>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</si>
  <si>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</si>
  <si>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</si>
  <si>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</si>
  <si>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</si>
  <si>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</si>
  <si>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</si>
  <si>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</si>
  <si>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</si>
  <si>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</si>
  <si>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</si>
  <si>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</si>
  <si>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</si>
  <si>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</si>
  <si>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</si>
  <si>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</si>
  <si>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</si>
  <si>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</si>
  <si>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</si>
  <si>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</si>
  <si>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</si>
  <si>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</si>
  <si>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</si>
  <si>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</si>
  <si>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</si>
  <si>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</si>
  <si>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</si>
  <si>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</si>
  <si>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</si>
  <si>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</si>
  <si>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</si>
  <si>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</si>
  <si>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</si>
  <si>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</si>
  <si>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</si>
  <si>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</si>
  <si>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</si>
  <si>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</si>
  <si>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68103986020</t>
  </si>
  <si>
    <t>04034856</t>
  </si>
  <si>
    <t>040304304</t>
  </si>
  <si>
    <t>MED EKO SERVIS DOO</t>
  </si>
  <si>
    <t>PULA</t>
  </si>
  <si>
    <t>POMER 1</t>
  </si>
  <si>
    <t>reklamacije@medekoservis.hr</t>
  </si>
  <si>
    <t>052/573-136</t>
  </si>
  <si>
    <t>www.medekoservis.hr</t>
  </si>
  <si>
    <t>SAMANTA RADMAN ROJNIĆ</t>
  </si>
  <si>
    <t>samanta.rojnic@medekoservis.hr</t>
  </si>
  <si>
    <t>EDO KRAJCAR mag.oec.</t>
  </si>
  <si>
    <t>84407468394</t>
  </si>
  <si>
    <t>7.</t>
  </si>
  <si>
    <t>8.</t>
  </si>
  <si>
    <t>10.</t>
  </si>
  <si>
    <t>3.6,11.</t>
  </si>
  <si>
    <t>3.4, 9.</t>
  </si>
  <si>
    <t>3.5, 6.</t>
  </si>
  <si>
    <t>12.</t>
  </si>
  <si>
    <t>3.7</t>
  </si>
  <si>
    <t>13.</t>
  </si>
  <si>
    <t>14.</t>
  </si>
  <si>
    <t>15.</t>
  </si>
  <si>
    <t>3.8,16.</t>
  </si>
  <si>
    <t>3.9</t>
  </si>
  <si>
    <t>18.</t>
  </si>
  <si>
    <t>19.</t>
  </si>
  <si>
    <t>3.10</t>
  </si>
  <si>
    <t>21.</t>
  </si>
  <si>
    <t>22.</t>
  </si>
  <si>
    <t>23.</t>
  </si>
  <si>
    <t>3.2</t>
  </si>
  <si>
    <t>24.</t>
  </si>
  <si>
    <t>25.</t>
  </si>
  <si>
    <t>26.</t>
  </si>
  <si>
    <t>27.</t>
  </si>
  <si>
    <t>3.9,28.</t>
  </si>
  <si>
    <t>3.10,29.</t>
  </si>
  <si>
    <t>17.</t>
  </si>
  <si>
    <t>20.</t>
  </si>
  <si>
    <t>3.13</t>
  </si>
  <si>
    <t>3.1, 5.</t>
  </si>
  <si>
    <t>5.1</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</si>
</sst>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 numFmtId="195" formatCode="&quot;Yes&quot;;&quot;Yes&quot;;&quot;No&quot;"/>
    <numFmt numFmtId="196" formatCode="&quot;True&quot;;&quot;True&quot;;&quot;False&quot;"/>
    <numFmt numFmtId="197" formatCode="&quot;On&quot;;&quot;On&quot;;&quot;Off&quot;"/>
    <numFmt numFmtId="198" formatCode="[$€-2]\ #,##0.00_);[Red]\([$€-2]\ #,##0.00\)"/>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767413.96</v>
      </c>
      <c r="I3" s="31">
        <f>ABS(ROUND(J3,0)-J3)+ABS(ROUND(K3,0)-K3)</f>
        <v>0</v>
      </c>
      <c r="J3" s="31">
        <f>Bilanca!I10</f>
        <v>12771092</v>
      </c>
      <c r="K3" s="31">
        <f>Bilanca!J10</f>
        <v>12799803</v>
      </c>
    </row>
    <row r="4" spans="1:11" ht="12.75">
      <c r="A4" s="4" t="s">
        <v>1088</v>
      </c>
      <c r="B4" s="29" t="s">
        <v>1888</v>
      </c>
      <c r="D4" s="4" t="s">
        <v>1521</v>
      </c>
      <c r="E4" s="4">
        <v>1</v>
      </c>
      <c r="F4" s="4">
        <f>Bilanca!G11</f>
        <v>3</v>
      </c>
      <c r="G4" s="4" t="str">
        <f>IF(Bilanca!H11=0,"",Bilanca!H11)</f>
        <v>3.1, 5.</v>
      </c>
      <c r="H4" s="30">
        <f>J4/100*F4+2*K4/100*F4</f>
        <v>6115.5</v>
      </c>
      <c r="I4" s="31">
        <f>ABS(ROUND(J4,0)-J4)+ABS(ROUND(K4,0)-K4)</f>
        <v>0</v>
      </c>
      <c r="J4" s="31">
        <f>Bilanca!I11</f>
        <v>73200</v>
      </c>
      <c r="K4" s="31">
        <f>Bilanca!J11</f>
        <v>65325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04034856</v>
      </c>
      <c r="D6" s="4" t="s">
        <v>1521</v>
      </c>
      <c r="E6" s="4">
        <v>1</v>
      </c>
      <c r="F6" s="4">
        <f>Bilanca!G13</f>
        <v>5</v>
      </c>
      <c r="G6" s="4">
        <f>IF(Bilanca!H13=0,"",Bilanca!H13)</f>
      </c>
      <c r="H6" s="30">
        <f aca="true" t="shared" si="0" ref="H6:H45">J6/100*F6+2*K6/100*F6</f>
        <v>10192.5</v>
      </c>
      <c r="I6" s="31">
        <f aca="true" t="shared" si="1" ref="I6:I45">ABS(ROUND(J6,0)-J6)+ABS(ROUND(K6,0)-K6)</f>
        <v>0</v>
      </c>
      <c r="J6" s="31">
        <f>Bilanca!I13</f>
        <v>73200</v>
      </c>
      <c r="K6" s="31">
        <f>Bilanca!J13</f>
        <v>65325</v>
      </c>
    </row>
    <row r="7" spans="1:11" ht="12.75">
      <c r="A7" s="4" t="s">
        <v>2353</v>
      </c>
      <c r="B7" s="29" t="str">
        <f>RefStr!M27</f>
        <v>040304304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68103986020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MED EKO SERVIS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52100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PULA</v>
      </c>
      <c r="D11" s="4" t="s">
        <v>1521</v>
      </c>
      <c r="E11" s="4">
        <v>1</v>
      </c>
      <c r="F11" s="4">
        <f>Bilanca!G18</f>
        <v>10</v>
      </c>
      <c r="G11" s="4" t="str">
        <f>IF(Bilanca!H18=0,"",Bilanca!H18)</f>
        <v>3.1, 5.</v>
      </c>
      <c r="H11" s="30">
        <f t="shared" si="0"/>
        <v>3816684.8</v>
      </c>
      <c r="I11" s="31">
        <f t="shared" si="1"/>
        <v>0</v>
      </c>
      <c r="J11" s="31">
        <f>Bilanca!I18</f>
        <v>12697892</v>
      </c>
      <c r="K11" s="31">
        <f>Bilanca!J18</f>
        <v>12734478</v>
      </c>
    </row>
    <row r="12" spans="1:11" ht="12.75">
      <c r="A12" s="4" t="s">
        <v>2357</v>
      </c>
      <c r="B12" s="29" t="str">
        <f>TRIM(RefStr!C33)</f>
        <v>POMER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reklamacije@medekoservis.hr</v>
      </c>
      <c r="D13" s="4" t="s">
        <v>1521</v>
      </c>
      <c r="E13" s="4">
        <v>1</v>
      </c>
      <c r="F13" s="4">
        <f>Bilanca!G20</f>
        <v>12</v>
      </c>
      <c r="G13" s="4">
        <f>IF(Bilanca!H20=0,"",Bilanca!H20)</f>
      </c>
      <c r="H13" s="30">
        <f t="shared" si="0"/>
        <v>194538.84</v>
      </c>
      <c r="I13" s="31">
        <f t="shared" si="1"/>
        <v>0</v>
      </c>
      <c r="J13" s="31">
        <f>Bilanca!I20</f>
        <v>561625</v>
      </c>
      <c r="K13" s="31">
        <f>Bilanca!J20</f>
        <v>529766</v>
      </c>
    </row>
    <row r="14" spans="1:11" ht="12.75">
      <c r="A14" s="4" t="s">
        <v>1194</v>
      </c>
      <c r="B14" s="29" t="str">
        <f>TRIM(RefStr!C37)</f>
        <v>www.medekoservis.hr</v>
      </c>
      <c r="D14" s="4" t="s">
        <v>1521</v>
      </c>
      <c r="E14" s="4">
        <v>1</v>
      </c>
      <c r="F14" s="4">
        <f>Bilanca!G21</f>
        <v>13</v>
      </c>
      <c r="G14" s="4">
        <f>IF(Bilanca!H21=0,"",Bilanca!H21)</f>
      </c>
      <c r="H14" s="30">
        <f t="shared" si="0"/>
        <v>859183.6499999999</v>
      </c>
      <c r="I14" s="31">
        <f t="shared" si="1"/>
        <v>0</v>
      </c>
      <c r="J14" s="31">
        <f>Bilanca!I21</f>
        <v>2148357</v>
      </c>
      <c r="K14" s="31">
        <f>Bilanca!J21</f>
        <v>2230374</v>
      </c>
    </row>
    <row r="15" spans="1:11" ht="12.75">
      <c r="A15" s="4" t="s">
        <v>2360</v>
      </c>
      <c r="B15" s="29" t="str">
        <f>TEXT(RefStr!J39,"00")</f>
        <v>18</v>
      </c>
      <c r="D15" s="4" t="s">
        <v>1521</v>
      </c>
      <c r="E15" s="4">
        <v>1</v>
      </c>
      <c r="F15" s="4">
        <f>Bilanca!G22</f>
        <v>14</v>
      </c>
      <c r="G15" s="4">
        <f>IF(Bilanca!H22=0,"",Bilanca!H22)</f>
      </c>
      <c r="H15" s="30">
        <f t="shared" si="0"/>
        <v>2630634.16</v>
      </c>
      <c r="I15" s="31">
        <f t="shared" si="1"/>
        <v>0</v>
      </c>
      <c r="J15" s="31">
        <f>Bilanca!I22</f>
        <v>6237596</v>
      </c>
      <c r="K15" s="31">
        <f>Bilanca!J22</f>
        <v>6276324</v>
      </c>
    </row>
    <row r="16" spans="1:11" ht="12.75">
      <c r="A16" s="4" t="s">
        <v>2359</v>
      </c>
      <c r="B16" s="29" t="str">
        <f>TEXT(RefStr!C39,"000")</f>
        <v>263</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5.1</v>
      </c>
      <c r="H18" s="30">
        <f t="shared" si="0"/>
        <v>1892328.1400000001</v>
      </c>
      <c r="I18" s="31">
        <f t="shared" si="1"/>
        <v>0</v>
      </c>
      <c r="J18" s="31">
        <f>Bilanca!I25</f>
        <v>3745314</v>
      </c>
      <c r="K18" s="31">
        <f>Bilanca!J25</f>
        <v>3693014</v>
      </c>
    </row>
    <row r="19" spans="1:11" ht="12.75">
      <c r="A19" s="4" t="s">
        <v>1196</v>
      </c>
      <c r="B19" s="29" t="str">
        <f>IF(RefStr!I21&lt;&gt;"",RefStr!I21,"")</f>
        <v>DA</v>
      </c>
      <c r="D19" s="4" t="s">
        <v>1521</v>
      </c>
      <c r="E19" s="4">
        <v>1</v>
      </c>
      <c r="F19" s="4">
        <f>Bilanca!G26</f>
        <v>18</v>
      </c>
      <c r="G19" s="4">
        <f>IF(Bilanca!H26=0,"",Bilanca!H26)</f>
      </c>
      <c r="H19" s="30">
        <f t="shared" si="0"/>
        <v>2700</v>
      </c>
      <c r="I19" s="31">
        <f t="shared" si="1"/>
        <v>0</v>
      </c>
      <c r="J19" s="31">
        <f>Bilanca!I26</f>
        <v>5000</v>
      </c>
      <c r="K19" s="31">
        <f>Bilanca!J26</f>
        <v>5000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2524449.69</v>
      </c>
      <c r="I38" s="31">
        <f t="shared" si="1"/>
        <v>0</v>
      </c>
      <c r="J38" s="31">
        <f>Bilanca!I45</f>
        <v>2359037</v>
      </c>
      <c r="K38" s="31">
        <f>Bilanca!J45</f>
        <v>2231900</v>
      </c>
    </row>
    <row r="39" spans="1:11" ht="12.75">
      <c r="A39" s="4" t="s">
        <v>1216</v>
      </c>
      <c r="B39" s="29" t="str">
        <f>RefStr!C68</f>
        <v>SAMANTA RADMAN ROJNIĆ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052/573-136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samanta.rojnic@medekoservis.hr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EDO KRAJCAR mag.oec.</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2824220.6</v>
      </c>
      <c r="I47" s="31">
        <f t="shared" si="3"/>
        <v>0</v>
      </c>
      <c r="J47" s="31">
        <f>Bilanca!I54</f>
        <v>1757120</v>
      </c>
      <c r="K47" s="31">
        <f>Bilanca!J54</f>
        <v>2191245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t="str">
        <f>IF(Bilanca!H57=0,"",Bilanca!H57)</f>
        <v>3.5, 6.</v>
      </c>
      <c r="H50" s="30">
        <f t="shared" si="2"/>
        <v>2868791.73</v>
      </c>
      <c r="I50" s="31">
        <f t="shared" si="3"/>
        <v>0</v>
      </c>
      <c r="J50" s="31">
        <f>Bilanca!I57</f>
        <v>1535853</v>
      </c>
      <c r="K50" s="31">
        <f>Bilanca!J57</f>
        <v>2159412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t="str">
        <f>IF(Bilanca!H59=0,"",Bilanca!H59)</f>
        <v>7.</v>
      </c>
      <c r="H52" s="30">
        <f t="shared" si="2"/>
        <v>40892.82</v>
      </c>
      <c r="I52" s="31">
        <f t="shared" si="3"/>
        <v>0</v>
      </c>
      <c r="J52" s="31">
        <f>Bilanca!I59</f>
        <v>29716</v>
      </c>
      <c r="K52" s="31">
        <f>Bilanca!J59</f>
        <v>25233</v>
      </c>
    </row>
    <row r="53" spans="1:11" ht="12.75">
      <c r="A53" s="4" t="s">
        <v>532</v>
      </c>
      <c r="B53" s="29" t="str">
        <f>RefStr!I56</f>
        <v>DA</v>
      </c>
      <c r="D53" s="4" t="s">
        <v>1521</v>
      </c>
      <c r="E53" s="4">
        <v>1</v>
      </c>
      <c r="F53" s="4">
        <f>Bilanca!G60</f>
        <v>52</v>
      </c>
      <c r="G53" s="4" t="str">
        <f>IF(Bilanca!H60=0,"",Bilanca!H60)</f>
        <v>8.</v>
      </c>
      <c r="H53" s="30">
        <f t="shared" si="2"/>
        <v>106470.52</v>
      </c>
      <c r="I53" s="31">
        <f t="shared" si="3"/>
        <v>0</v>
      </c>
      <c r="J53" s="31">
        <f>Bilanca!I60</f>
        <v>191551</v>
      </c>
      <c r="K53" s="31">
        <f>Bilanca!J60</f>
        <v>6600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2499800675.7299995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84407468394</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3.4, 9.</v>
      </c>
      <c r="H64" s="30">
        <f t="shared" si="2"/>
        <v>430433.01</v>
      </c>
      <c r="I64" s="31">
        <f t="shared" si="3"/>
        <v>0</v>
      </c>
      <c r="J64" s="31">
        <f>Bilanca!I71</f>
        <v>601917</v>
      </c>
      <c r="K64" s="31">
        <f>Bilanca!J71</f>
        <v>40655</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29375797.75</v>
      </c>
      <c r="I66" s="31">
        <f t="shared" si="3"/>
        <v>0</v>
      </c>
      <c r="J66" s="31">
        <f>Bilanca!I73</f>
        <v>15130129</v>
      </c>
      <c r="K66" s="31">
        <f>Bilanca!J73</f>
        <v>15031703</v>
      </c>
    </row>
    <row r="67" spans="1:11" ht="12.75">
      <c r="A67" s="4" t="s">
        <v>689</v>
      </c>
      <c r="B67" s="29" t="str">
        <f>RefStr!L35</f>
        <v>052/573-136</v>
      </c>
      <c r="D67" s="4" t="s">
        <v>1521</v>
      </c>
      <c r="E67" s="4">
        <v>1</v>
      </c>
      <c r="F67" s="4">
        <f>Bilanca!G74</f>
        <v>66</v>
      </c>
      <c r="G67" s="4" t="str">
        <f>IF(Bilanca!H74=0,"",Bilanca!H74)</f>
        <v>10.</v>
      </c>
      <c r="H67" s="30">
        <f t="shared" si="2"/>
        <v>195359.34</v>
      </c>
      <c r="I67" s="31">
        <f t="shared" si="3"/>
        <v>0</v>
      </c>
      <c r="J67" s="31">
        <f>Bilanca!I74</f>
        <v>129971</v>
      </c>
      <c r="K67" s="31">
        <f>Bilanca!J74</f>
        <v>83014</v>
      </c>
    </row>
    <row r="68" spans="1:11" ht="12.75">
      <c r="A68" s="4" t="s">
        <v>690</v>
      </c>
      <c r="B68" s="29">
        <f>RefStr!C44</f>
        <v>1</v>
      </c>
      <c r="D68" s="4" t="s">
        <v>1521</v>
      </c>
      <c r="E68" s="4">
        <v>1</v>
      </c>
      <c r="F68" s="4">
        <f>Bilanca!G76</f>
        <v>67</v>
      </c>
      <c r="G68" s="4" t="str">
        <f>IF(Bilanca!H76=0,"",Bilanca!H76)</f>
        <v>3.6,11.</v>
      </c>
      <c r="H68" s="30">
        <f t="shared" si="2"/>
        <v>2559127.3099999996</v>
      </c>
      <c r="I68" s="31">
        <f t="shared" si="3"/>
        <v>0</v>
      </c>
      <c r="J68" s="31">
        <f>Bilanca!I76</f>
        <v>1078647</v>
      </c>
      <c r="K68" s="31">
        <f>Bilanca!J76</f>
        <v>1370473</v>
      </c>
    </row>
    <row r="69" spans="1:11" ht="12.75">
      <c r="A69" s="4" t="s">
        <v>691</v>
      </c>
      <c r="B69" s="29">
        <f>RefStr!M46</f>
        <v>0</v>
      </c>
      <c r="D69" s="4" t="s">
        <v>1521</v>
      </c>
      <c r="E69" s="4">
        <v>1</v>
      </c>
      <c r="F69" s="4">
        <f>Bilanca!G77</f>
        <v>68</v>
      </c>
      <c r="G69" s="4">
        <f>IF(Bilanca!H77=0,"",Bilanca!H77)</f>
      </c>
      <c r="H69" s="30">
        <f t="shared" si="2"/>
        <v>2812956</v>
      </c>
      <c r="I69" s="31">
        <f t="shared" si="3"/>
        <v>0</v>
      </c>
      <c r="J69" s="31">
        <f>Bilanca!I77</f>
        <v>1378900</v>
      </c>
      <c r="K69" s="31">
        <f>Bilanca!J77</f>
        <v>1378900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2076.9</v>
      </c>
      <c r="I71" s="31">
        <f t="shared" si="3"/>
        <v>0</v>
      </c>
      <c r="J71" s="31">
        <f>Bilanca!I79</f>
        <v>989</v>
      </c>
      <c r="K71" s="31">
        <f>Bilanca!J79</f>
        <v>989</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2225.25</v>
      </c>
      <c r="I76" s="31">
        <f t="shared" si="3"/>
        <v>0</v>
      </c>
      <c r="J76" s="31">
        <f>Bilanca!I84</f>
        <v>989</v>
      </c>
      <c r="K76" s="31">
        <f>Bilanca!J84</f>
        <v>989</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-740489.04</v>
      </c>
      <c r="I82" s="31">
        <f t="shared" si="3"/>
        <v>0</v>
      </c>
      <c r="J82" s="31">
        <f>Bilanca!I90</f>
        <v>-311700</v>
      </c>
      <c r="K82" s="31">
        <f>Bilanca!J90</f>
        <v>-301242</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758772.72</v>
      </c>
      <c r="I84" s="31">
        <f t="shared" si="3"/>
        <v>0</v>
      </c>
      <c r="J84" s="31">
        <f>Bilanca!I92</f>
        <v>311700</v>
      </c>
      <c r="K84" s="31">
        <f>Bilanca!J92</f>
        <v>301242</v>
      </c>
    </row>
    <row r="85" spans="4:11" ht="12.75">
      <c r="D85" s="4" t="s">
        <v>1521</v>
      </c>
      <c r="E85" s="4">
        <v>1</v>
      </c>
      <c r="F85" s="4">
        <f>Bilanca!G93</f>
        <v>84</v>
      </c>
      <c r="G85" s="4">
        <f>IF(Bilanca!H93=0,"",Bilanca!H93)</f>
      </c>
      <c r="H85" s="30">
        <f>J85/100*F85+2*K85/100*F85</f>
        <v>499052.4</v>
      </c>
      <c r="I85" s="31">
        <f>ABS(ROUND(J85,0)-J85)+ABS(ROUND(K85,0)-K85)</f>
        <v>0</v>
      </c>
      <c r="J85" s="31">
        <f>Bilanca!I93</f>
        <v>10458</v>
      </c>
      <c r="K85" s="31">
        <f>Bilanca!J93</f>
        <v>291826</v>
      </c>
    </row>
    <row r="86" spans="4:11" ht="12.75">
      <c r="D86" s="4" t="s">
        <v>1521</v>
      </c>
      <c r="E86" s="4">
        <v>1</v>
      </c>
      <c r="F86" s="4">
        <f>Bilanca!G94</f>
        <v>85</v>
      </c>
      <c r="G86" s="4">
        <f>IF(Bilanca!H94=0,"",Bilanca!H94)</f>
      </c>
      <c r="H86" s="30">
        <f>J86/100*F86+2*K86/100*F86</f>
        <v>504993.5</v>
      </c>
      <c r="I86" s="31">
        <f>ABS(ROUND(J86,0)-J86)+ABS(ROUND(K86,0)-K86)</f>
        <v>0</v>
      </c>
      <c r="J86" s="31">
        <f>Bilanca!I94</f>
        <v>10458</v>
      </c>
      <c r="K86" s="31">
        <f>Bilanca!J94</f>
        <v>291826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12.</v>
      </c>
      <c r="H89" s="30">
        <f t="shared" si="4"/>
        <v>868077.76</v>
      </c>
      <c r="I89" s="31">
        <f t="shared" si="5"/>
        <v>0</v>
      </c>
      <c r="J89" s="31">
        <f>Bilanca!I97</f>
        <v>411650</v>
      </c>
      <c r="K89" s="31">
        <f>Bilanca!J97</f>
        <v>287401</v>
      </c>
    </row>
    <row r="90" spans="4:11" ht="12.75">
      <c r="D90" s="4" t="s">
        <v>1521</v>
      </c>
      <c r="E90" s="4">
        <v>1</v>
      </c>
      <c r="F90" s="4">
        <f>Bilanca!G98</f>
        <v>89</v>
      </c>
      <c r="G90" s="4">
        <f>IF(Bilanca!H98=0,"",Bilanca!H98)</f>
      </c>
      <c r="H90" s="30">
        <f t="shared" si="4"/>
        <v>877942.28</v>
      </c>
      <c r="I90" s="31">
        <f t="shared" si="5"/>
        <v>0</v>
      </c>
      <c r="J90" s="31">
        <f>Bilanca!I98</f>
        <v>411650</v>
      </c>
      <c r="K90" s="31">
        <f>Bilanca!J98</f>
        <v>287401</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3.7</v>
      </c>
      <c r="H96" s="30">
        <f t="shared" si="4"/>
        <v>3899651.2</v>
      </c>
      <c r="I96" s="31">
        <f t="shared" si="5"/>
        <v>0</v>
      </c>
      <c r="J96" s="31">
        <f>Bilanca!I104</f>
        <v>1519330</v>
      </c>
      <c r="K96" s="31">
        <f>Bilanca!J104</f>
        <v>1292783</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13.</v>
      </c>
      <c r="H102" s="30">
        <f t="shared" si="4"/>
        <v>4145944.96</v>
      </c>
      <c r="I102" s="31">
        <f t="shared" si="5"/>
        <v>0</v>
      </c>
      <c r="J102" s="31">
        <f>Bilanca!I110</f>
        <v>1519330</v>
      </c>
      <c r="K102" s="31">
        <f>Bilanca!J110</f>
        <v>1292783</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3.7</v>
      </c>
      <c r="H108" s="30">
        <f t="shared" si="4"/>
        <v>8090389.84</v>
      </c>
      <c r="I108" s="31">
        <f t="shared" si="5"/>
        <v>0</v>
      </c>
      <c r="J108" s="31">
        <f>Bilanca!I116</f>
        <v>2485180</v>
      </c>
      <c r="K108" s="31">
        <f>Bilanca!J116</f>
        <v>2537966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t="str">
        <f>IF(Bilanca!H122=0,"",Bilanca!H122)</f>
        <v>14.</v>
      </c>
      <c r="H114" s="30">
        <f t="shared" si="4"/>
        <v>2287857.89</v>
      </c>
      <c r="I114" s="31">
        <f t="shared" si="5"/>
        <v>0</v>
      </c>
      <c r="J114" s="31">
        <f>Bilanca!I122</f>
        <v>664509</v>
      </c>
      <c r="K114" s="31">
        <f>Bilanca!J122</f>
        <v>680072</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t="str">
        <f>IF(Bilanca!H124=0,"",Bilanca!H124)</f>
        <v>15.</v>
      </c>
      <c r="H116" s="30">
        <f t="shared" si="4"/>
        <v>4332786</v>
      </c>
      <c r="I116" s="31">
        <f t="shared" si="5"/>
        <v>0</v>
      </c>
      <c r="J116" s="31">
        <f>Bilanca!I124</f>
        <v>1333894</v>
      </c>
      <c r="K116" s="31">
        <f>Bilanca!J124</f>
        <v>1216873</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1047582.9000000001</v>
      </c>
      <c r="I118" s="31">
        <f t="shared" si="5"/>
        <v>0</v>
      </c>
      <c r="J118" s="31">
        <f>Bilanca!I126</f>
        <v>283218</v>
      </c>
      <c r="K118" s="31">
        <f>Bilanca!J126</f>
        <v>306076</v>
      </c>
    </row>
    <row r="119" spans="4:11" ht="12.75">
      <c r="D119" s="4" t="s">
        <v>1521</v>
      </c>
      <c r="E119" s="4">
        <v>1</v>
      </c>
      <c r="F119" s="4">
        <f>Bilanca!G127</f>
        <v>118</v>
      </c>
      <c r="G119" s="4">
        <f>IF(Bilanca!H127=0,"",Bilanca!H127)</f>
      </c>
      <c r="H119" s="30">
        <f t="shared" si="4"/>
        <v>1008202.62</v>
      </c>
      <c r="I119" s="31">
        <f t="shared" si="5"/>
        <v>0</v>
      </c>
      <c r="J119" s="31">
        <f>Bilanca!I127</f>
        <v>198191</v>
      </c>
      <c r="K119" s="31">
        <f>Bilanca!J127</f>
        <v>328109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23038.399999999998</v>
      </c>
      <c r="I122" s="31">
        <f t="shared" si="5"/>
        <v>0</v>
      </c>
      <c r="J122" s="31">
        <f>Bilanca!I130</f>
        <v>5368</v>
      </c>
      <c r="K122" s="31">
        <f>Bilanca!J130</f>
        <v>6836</v>
      </c>
    </row>
    <row r="123" spans="4:11" ht="12.75">
      <c r="D123" s="4" t="s">
        <v>1521</v>
      </c>
      <c r="E123" s="4">
        <v>1</v>
      </c>
      <c r="F123" s="4">
        <f>Bilanca!G131</f>
        <v>122</v>
      </c>
      <c r="G123" s="4" t="str">
        <f>IF(Bilanca!H131=0,"",Bilanca!H131)</f>
        <v>3.8,16.</v>
      </c>
      <c r="H123" s="30">
        <f t="shared" si="4"/>
        <v>35040208.04</v>
      </c>
      <c r="I123" s="31">
        <f t="shared" si="5"/>
        <v>0</v>
      </c>
      <c r="J123" s="31">
        <f>Bilanca!I131</f>
        <v>9635322</v>
      </c>
      <c r="K123" s="31">
        <f>Bilanca!J131</f>
        <v>9543080</v>
      </c>
    </row>
    <row r="124" spans="4:11" ht="12.75">
      <c r="D124" s="4" t="s">
        <v>1521</v>
      </c>
      <c r="E124" s="4">
        <v>1</v>
      </c>
      <c r="F124" s="4">
        <f>Bilanca!G132</f>
        <v>123</v>
      </c>
      <c r="G124" s="4">
        <f>IF(Bilanca!H132=0,"",Bilanca!H132)</f>
      </c>
      <c r="H124" s="30">
        <f t="shared" si="4"/>
        <v>55588048.050000004</v>
      </c>
      <c r="I124" s="31">
        <f t="shared" si="5"/>
        <v>0</v>
      </c>
      <c r="J124" s="31">
        <f>Bilanca!I132</f>
        <v>15130129</v>
      </c>
      <c r="K124" s="31">
        <f>Bilanca!J132</f>
        <v>15031703</v>
      </c>
    </row>
    <row r="125" spans="4:11" ht="12.75">
      <c r="D125" s="4" t="s">
        <v>1521</v>
      </c>
      <c r="E125" s="4">
        <v>1</v>
      </c>
      <c r="F125" s="4">
        <f>Bilanca!G133</f>
        <v>124</v>
      </c>
      <c r="G125" s="4" t="str">
        <f>IF(Bilanca!H133=0,"",Bilanca!H133)</f>
        <v>10.</v>
      </c>
      <c r="H125" s="30">
        <f t="shared" si="4"/>
        <v>367038.76</v>
      </c>
      <c r="I125" s="31">
        <f t="shared" si="5"/>
        <v>0</v>
      </c>
      <c r="J125" s="31">
        <f>Bilanca!I133</f>
        <v>129971</v>
      </c>
      <c r="K125" s="31">
        <f>Bilanca!J133</f>
        <v>83014</v>
      </c>
    </row>
    <row r="126" spans="4:11" ht="12.75">
      <c r="D126" s="4" t="s">
        <v>541</v>
      </c>
      <c r="E126" s="4">
        <v>2</v>
      </c>
      <c r="F126" s="4">
        <f>RDG!G8</f>
        <v>125</v>
      </c>
      <c r="G126" s="4" t="str">
        <f>IF(RDG!H8=0,"",RDG!H8)</f>
        <v>3.9</v>
      </c>
      <c r="H126" s="30">
        <f t="shared" si="4"/>
        <v>64751001.25</v>
      </c>
      <c r="I126" s="4">
        <f t="shared" si="5"/>
        <v>0</v>
      </c>
      <c r="J126" s="31">
        <f>RDG!I8</f>
        <v>15286337</v>
      </c>
      <c r="K126" s="31">
        <f>RDG!J8</f>
        <v>18257232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18.</v>
      </c>
      <c r="H128" s="30">
        <f aca="true" t="shared" si="6" ref="H128:H190">J128/100*F128+2*K128/100*F128</f>
        <v>61438939.86</v>
      </c>
      <c r="I128" s="4">
        <f aca="true" t="shared" si="7" ref="I128:I190">ABS(ROUND(J128,0)-J128)+ABS(ROUND(K128,0)-K128)</f>
        <v>0</v>
      </c>
      <c r="J128" s="31">
        <f>RDG!I10</f>
        <v>14423602</v>
      </c>
      <c r="K128" s="31">
        <f>RDG!J10</f>
        <v>16976758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19.</v>
      </c>
      <c r="H131" s="30">
        <f t="shared" si="6"/>
        <v>4450787.9</v>
      </c>
      <c r="I131" s="4">
        <f t="shared" si="7"/>
        <v>0</v>
      </c>
      <c r="J131" s="31">
        <f>RDG!I13</f>
        <v>862735</v>
      </c>
      <c r="K131" s="31">
        <f>RDG!J13</f>
        <v>1280474</v>
      </c>
    </row>
    <row r="132" spans="4:11" ht="12.75">
      <c r="D132" s="4" t="s">
        <v>541</v>
      </c>
      <c r="E132" s="4">
        <v>2</v>
      </c>
      <c r="F132" s="4">
        <f>RDG!G14</f>
        <v>131</v>
      </c>
      <c r="G132" s="4" t="str">
        <f>IF(RDG!H14=0,"",RDG!H14)</f>
        <v>3.10</v>
      </c>
      <c r="H132" s="30">
        <f t="shared" si="6"/>
        <v>66484455.83</v>
      </c>
      <c r="I132" s="4">
        <f t="shared" si="7"/>
        <v>0</v>
      </c>
      <c r="J132" s="31">
        <f>RDG!I14</f>
        <v>15156355</v>
      </c>
      <c r="K132" s="31">
        <f>RDG!J14</f>
        <v>17797569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34109459.3</v>
      </c>
      <c r="I134" s="4">
        <f t="shared" si="7"/>
        <v>0</v>
      </c>
      <c r="J134" s="31">
        <f>RDG!I16</f>
        <v>7682236</v>
      </c>
      <c r="K134" s="31">
        <f>RDG!J16</f>
        <v>8981987</v>
      </c>
    </row>
    <row r="135" spans="4:11" ht="12.75">
      <c r="D135" s="4" t="s">
        <v>541</v>
      </c>
      <c r="E135" s="4">
        <v>2</v>
      </c>
      <c r="F135" s="4">
        <f>RDG!G17</f>
        <v>134</v>
      </c>
      <c r="G135" s="4" t="str">
        <f>IF(RDG!H17=0,"",RDG!H17)</f>
        <v>21.</v>
      </c>
      <c r="H135" s="30">
        <f t="shared" si="6"/>
        <v>4254810.88</v>
      </c>
      <c r="I135" s="4">
        <f t="shared" si="7"/>
        <v>0</v>
      </c>
      <c r="J135" s="31">
        <f>RDG!I17</f>
        <v>963034</v>
      </c>
      <c r="K135" s="31">
        <f>RDG!J17</f>
        <v>1106099</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t="str">
        <f>IF(RDG!H19=0,"",RDG!H19)</f>
        <v>22.</v>
      </c>
      <c r="H137" s="30">
        <f t="shared" si="6"/>
        <v>30560530.08</v>
      </c>
      <c r="I137" s="4">
        <f t="shared" si="7"/>
        <v>0</v>
      </c>
      <c r="J137" s="31">
        <f>RDG!I19</f>
        <v>6719202</v>
      </c>
      <c r="K137" s="31">
        <f>RDG!J19</f>
        <v>7875888</v>
      </c>
    </row>
    <row r="138" spans="4:11" ht="12.75">
      <c r="D138" s="4" t="s">
        <v>541</v>
      </c>
      <c r="E138" s="4">
        <v>2</v>
      </c>
      <c r="F138" s="4">
        <f>RDG!G20</f>
        <v>137</v>
      </c>
      <c r="G138" s="4" t="str">
        <f>IF(RDG!H20=0,"",RDG!H20)</f>
        <v>23.</v>
      </c>
      <c r="H138" s="30">
        <f t="shared" si="6"/>
        <v>22259576.42</v>
      </c>
      <c r="I138" s="4">
        <f t="shared" si="7"/>
        <v>0</v>
      </c>
      <c r="J138" s="31">
        <f>RDG!I20</f>
        <v>4796144</v>
      </c>
      <c r="K138" s="31">
        <f>RDG!J20</f>
        <v>5725861</v>
      </c>
    </row>
    <row r="139" spans="4:11" ht="12.75">
      <c r="D139" s="4" t="s">
        <v>541</v>
      </c>
      <c r="E139" s="4">
        <v>2</v>
      </c>
      <c r="F139" s="4">
        <f>RDG!G21</f>
        <v>138</v>
      </c>
      <c r="G139" s="4">
        <f>IF(RDG!H21=0,"",RDG!H21)</f>
      </c>
      <c r="H139" s="30">
        <f t="shared" si="6"/>
        <v>13847669.34</v>
      </c>
      <c r="I139" s="4">
        <f t="shared" si="7"/>
        <v>0</v>
      </c>
      <c r="J139" s="31">
        <f>RDG!I21</f>
        <v>2985595</v>
      </c>
      <c r="K139" s="31">
        <f>RDG!J21</f>
        <v>3524474</v>
      </c>
    </row>
    <row r="140" spans="4:11" ht="12.75">
      <c r="D140" s="4" t="s">
        <v>541</v>
      </c>
      <c r="E140" s="4">
        <v>2</v>
      </c>
      <c r="F140" s="4">
        <f>RDG!G22</f>
        <v>139</v>
      </c>
      <c r="G140" s="4">
        <f>IF(RDG!H22=0,"",RDG!H22)</f>
      </c>
      <c r="H140" s="30">
        <f t="shared" si="6"/>
        <v>5506108.3100000005</v>
      </c>
      <c r="I140" s="4">
        <f t="shared" si="7"/>
        <v>0</v>
      </c>
      <c r="J140" s="31">
        <f>RDG!I22</f>
        <v>1106819</v>
      </c>
      <c r="K140" s="31">
        <f>RDG!J22</f>
        <v>1427205</v>
      </c>
    </row>
    <row r="141" spans="4:11" ht="12.75">
      <c r="D141" s="4" t="s">
        <v>541</v>
      </c>
      <c r="E141" s="4">
        <v>2</v>
      </c>
      <c r="F141" s="4">
        <f>RDG!G23</f>
        <v>140</v>
      </c>
      <c r="G141" s="4">
        <f>IF(RDG!H23=0,"",RDG!H23)</f>
      </c>
      <c r="H141" s="30">
        <f t="shared" si="6"/>
        <v>3152931.6</v>
      </c>
      <c r="I141" s="4">
        <f t="shared" si="7"/>
        <v>0</v>
      </c>
      <c r="J141" s="31">
        <f>RDG!I23</f>
        <v>703730</v>
      </c>
      <c r="K141" s="31">
        <f>RDG!J23</f>
        <v>774182</v>
      </c>
    </row>
    <row r="142" spans="4:11" ht="12.75">
      <c r="D142" s="4" t="s">
        <v>541</v>
      </c>
      <c r="E142" s="4">
        <v>2</v>
      </c>
      <c r="F142" s="4">
        <f>RDG!G24</f>
        <v>141</v>
      </c>
      <c r="G142" s="4" t="str">
        <f>IF(RDG!H24=0,"",RDG!H24)</f>
        <v>3.2</v>
      </c>
      <c r="H142" s="30">
        <f t="shared" si="6"/>
        <v>5476055.069999999</v>
      </c>
      <c r="I142" s="4">
        <f t="shared" si="7"/>
        <v>0</v>
      </c>
      <c r="J142" s="31">
        <f>RDG!I24</f>
        <v>1111451</v>
      </c>
      <c r="K142" s="31">
        <f>RDG!J24</f>
        <v>1386138</v>
      </c>
    </row>
    <row r="143" spans="4:11" ht="12.75">
      <c r="D143" s="4" t="s">
        <v>541</v>
      </c>
      <c r="E143" s="4">
        <v>2</v>
      </c>
      <c r="F143" s="4">
        <f>RDG!G25</f>
        <v>142</v>
      </c>
      <c r="G143" s="4" t="str">
        <f>IF(RDG!H25=0,"",RDG!H25)</f>
        <v>24.</v>
      </c>
      <c r="H143" s="30">
        <f t="shared" si="6"/>
        <v>4804220.68</v>
      </c>
      <c r="I143" s="4">
        <f t="shared" si="7"/>
        <v>0</v>
      </c>
      <c r="J143" s="31">
        <f>RDG!I25</f>
        <v>803674</v>
      </c>
      <c r="K143" s="31">
        <f>RDG!J25</f>
        <v>1289790</v>
      </c>
    </row>
    <row r="144" spans="4:11" ht="12.75">
      <c r="D144" s="4" t="s">
        <v>541</v>
      </c>
      <c r="E144" s="4">
        <v>2</v>
      </c>
      <c r="F144" s="4">
        <f>RDG!G26</f>
        <v>143</v>
      </c>
      <c r="G144" s="4" t="str">
        <f>IF(RDG!H26=0,"",RDG!H26)</f>
        <v>25.</v>
      </c>
      <c r="H144" s="30">
        <f t="shared" si="6"/>
        <v>385575.19</v>
      </c>
      <c r="I144" s="4">
        <f t="shared" si="7"/>
        <v>0</v>
      </c>
      <c r="J144" s="31">
        <f>RDG!I26</f>
        <v>134079</v>
      </c>
      <c r="K144" s="31">
        <f>RDG!J26</f>
        <v>67777</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390967.85</v>
      </c>
      <c r="I146" s="4">
        <f t="shared" si="7"/>
        <v>0</v>
      </c>
      <c r="J146" s="31">
        <f>RDG!I28</f>
        <v>134079</v>
      </c>
      <c r="K146" s="31">
        <f>RDG!J28</f>
        <v>67777</v>
      </c>
    </row>
    <row r="147" spans="4:11" ht="12.75">
      <c r="D147" s="4" t="s">
        <v>541</v>
      </c>
      <c r="E147" s="4">
        <v>2</v>
      </c>
      <c r="F147" s="4">
        <f>RDG!G29</f>
        <v>146</v>
      </c>
      <c r="G147" s="4" t="str">
        <f>IF(RDG!H29=0,"",RDG!H29)</f>
        <v>26.</v>
      </c>
      <c r="H147" s="30">
        <f t="shared" si="6"/>
        <v>1440219.92</v>
      </c>
      <c r="I147" s="4">
        <f t="shared" si="7"/>
        <v>0</v>
      </c>
      <c r="J147" s="31">
        <f>RDG!I29</f>
        <v>411650</v>
      </c>
      <c r="K147" s="31">
        <f>RDG!J29</f>
        <v>287401</v>
      </c>
    </row>
    <row r="148" spans="4:11" ht="12.75">
      <c r="D148" s="4" t="s">
        <v>541</v>
      </c>
      <c r="E148" s="4">
        <v>2</v>
      </c>
      <c r="F148" s="4">
        <f>RDG!G30</f>
        <v>147</v>
      </c>
      <c r="G148" s="4">
        <f>IF(RDG!H30=0,"",RDG!H30)</f>
      </c>
      <c r="H148" s="30">
        <f t="shared" si="6"/>
        <v>1450084.44</v>
      </c>
      <c r="I148" s="4">
        <f t="shared" si="7"/>
        <v>0</v>
      </c>
      <c r="J148" s="31">
        <f>RDG!I30</f>
        <v>411650</v>
      </c>
      <c r="K148" s="31">
        <f>RDG!J30</f>
        <v>287401</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27.</v>
      </c>
      <c r="H154" s="30">
        <f t="shared" si="6"/>
        <v>511557.03</v>
      </c>
      <c r="I154" s="4">
        <f t="shared" si="7"/>
        <v>0</v>
      </c>
      <c r="J154" s="31">
        <f>RDG!I36</f>
        <v>217121</v>
      </c>
      <c r="K154" s="31">
        <f>RDG!J36</f>
        <v>58615</v>
      </c>
    </row>
    <row r="155" spans="4:11" ht="12.75">
      <c r="D155" s="4" t="s">
        <v>541</v>
      </c>
      <c r="E155" s="4">
        <v>2</v>
      </c>
      <c r="F155" s="4">
        <f>RDG!G37</f>
        <v>154</v>
      </c>
      <c r="G155" s="4" t="str">
        <f>IF(RDG!H37=0,"",RDG!H37)</f>
        <v>3.9,28.</v>
      </c>
      <c r="H155" s="30">
        <f t="shared" si="6"/>
        <v>30542.82</v>
      </c>
      <c r="I155" s="4">
        <f t="shared" si="7"/>
        <v>0</v>
      </c>
      <c r="J155" s="31">
        <f>RDG!I37</f>
        <v>17387</v>
      </c>
      <c r="K155" s="31">
        <f>RDG!J37</f>
        <v>1223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5205.129999999999</v>
      </c>
      <c r="I162" s="4">
        <f t="shared" si="7"/>
        <v>0</v>
      </c>
      <c r="J162" s="31">
        <f>RDG!I44</f>
        <v>945</v>
      </c>
      <c r="K162" s="31">
        <f>RDG!J44</f>
        <v>1144</v>
      </c>
    </row>
    <row r="163" spans="4:11" ht="12.75">
      <c r="D163" s="4" t="s">
        <v>541</v>
      </c>
      <c r="E163" s="4">
        <v>2</v>
      </c>
      <c r="F163" s="4">
        <f>RDG!G45</f>
        <v>162</v>
      </c>
      <c r="G163" s="4">
        <f>IF(RDG!H45=0,"",RDG!H45)</f>
      </c>
      <c r="H163" s="30">
        <f t="shared" si="6"/>
        <v>26891.999999999996</v>
      </c>
      <c r="I163" s="4">
        <f t="shared" si="7"/>
        <v>0</v>
      </c>
      <c r="J163" s="31">
        <f>RDG!I45</f>
        <v>16442</v>
      </c>
      <c r="K163" s="31">
        <f>RDG!J45</f>
        <v>79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3.10,29.</v>
      </c>
      <c r="H166" s="30">
        <f t="shared" si="6"/>
        <v>459053.1</v>
      </c>
      <c r="I166" s="4">
        <f t="shared" si="7"/>
        <v>0</v>
      </c>
      <c r="J166" s="31">
        <f>RDG!I48</f>
        <v>85726</v>
      </c>
      <c r="K166" s="31">
        <f>RDG!J48</f>
        <v>96244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399025.2</v>
      </c>
      <c r="I169" s="4">
        <f t="shared" si="7"/>
        <v>0</v>
      </c>
      <c r="J169" s="31">
        <f>RDG!I51</f>
        <v>63257</v>
      </c>
      <c r="K169" s="31">
        <f>RDG!J51</f>
        <v>87129</v>
      </c>
    </row>
    <row r="170" spans="4:11" ht="12.75">
      <c r="D170" s="4" t="s">
        <v>541</v>
      </c>
      <c r="E170" s="4">
        <v>2</v>
      </c>
      <c r="F170" s="4">
        <f>RDG!G52</f>
        <v>169</v>
      </c>
      <c r="G170" s="4">
        <f>IF(RDG!H52=0,"",RDG!H52)</f>
      </c>
      <c r="H170" s="30">
        <f t="shared" si="6"/>
        <v>34981.31</v>
      </c>
      <c r="I170" s="4">
        <f t="shared" si="7"/>
        <v>0</v>
      </c>
      <c r="J170" s="31">
        <f>RDG!I52</f>
        <v>2469</v>
      </c>
      <c r="K170" s="31">
        <f>RDG!J52</f>
        <v>9115</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34400</v>
      </c>
      <c r="I173" s="4">
        <f t="shared" si="7"/>
        <v>0</v>
      </c>
      <c r="J173" s="31">
        <f>RDG!I55</f>
        <v>20000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17.</v>
      </c>
      <c r="H178" s="30">
        <f t="shared" si="6"/>
        <v>91722522.17999999</v>
      </c>
      <c r="I178" s="4">
        <f t="shared" si="7"/>
        <v>0</v>
      </c>
      <c r="J178" s="31">
        <f>RDG!I60</f>
        <v>15303724</v>
      </c>
      <c r="K178" s="31">
        <f>RDG!J60</f>
        <v>18258455</v>
      </c>
    </row>
    <row r="179" spans="4:11" ht="12.75">
      <c r="D179" s="4" t="s">
        <v>541</v>
      </c>
      <c r="E179" s="4">
        <v>2</v>
      </c>
      <c r="F179" s="4">
        <f>RDG!G61</f>
        <v>178</v>
      </c>
      <c r="G179" s="4" t="str">
        <f>IF(RDG!H61=0,"",RDG!H61)</f>
        <v>20.</v>
      </c>
      <c r="H179" s="30">
        <f t="shared" si="6"/>
        <v>90832878.46000001</v>
      </c>
      <c r="I179" s="4">
        <f t="shared" si="7"/>
        <v>0</v>
      </c>
      <c r="J179" s="31">
        <f>RDG!I61</f>
        <v>15242081</v>
      </c>
      <c r="K179" s="31">
        <f>RDG!J61</f>
        <v>17893813</v>
      </c>
    </row>
    <row r="180" spans="4:11" ht="12.75">
      <c r="D180" s="4" t="s">
        <v>541</v>
      </c>
      <c r="E180" s="4">
        <v>2</v>
      </c>
      <c r="F180" s="4">
        <f>RDG!G62</f>
        <v>179</v>
      </c>
      <c r="G180" s="4">
        <f>IF(RDG!H62=0,"",RDG!H62)</f>
      </c>
      <c r="H180" s="30">
        <f t="shared" si="6"/>
        <v>1415759.33</v>
      </c>
      <c r="I180" s="4">
        <f t="shared" si="7"/>
        <v>0</v>
      </c>
      <c r="J180" s="31">
        <f>RDG!I62</f>
        <v>61643</v>
      </c>
      <c r="K180" s="31">
        <f>RDG!J62</f>
        <v>364642</v>
      </c>
    </row>
    <row r="181" spans="4:11" ht="12.75">
      <c r="D181" s="4" t="s">
        <v>541</v>
      </c>
      <c r="E181" s="4">
        <v>2</v>
      </c>
      <c r="F181" s="4">
        <f>RDG!G63</f>
        <v>180</v>
      </c>
      <c r="G181" s="4">
        <f>IF(RDG!H63=0,"",RDG!H63)</f>
      </c>
      <c r="H181" s="30">
        <f t="shared" si="6"/>
        <v>1423668.5999999999</v>
      </c>
      <c r="I181" s="4">
        <f t="shared" si="7"/>
        <v>0</v>
      </c>
      <c r="J181" s="31">
        <f>RDG!I63</f>
        <v>61643</v>
      </c>
      <c r="K181" s="31">
        <f>RDG!J63</f>
        <v>364642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t="str">
        <f>IF(RDG!H65=0,"",RDG!H65)</f>
        <v>3.13</v>
      </c>
      <c r="H183" s="30">
        <f t="shared" si="6"/>
        <v>358206.94</v>
      </c>
      <c r="I183" s="4">
        <f t="shared" si="7"/>
        <v>0</v>
      </c>
      <c r="J183" s="31">
        <f>RDG!I65</f>
        <v>51185</v>
      </c>
      <c r="K183" s="31">
        <f>RDG!J65</f>
        <v>72816</v>
      </c>
    </row>
    <row r="184" spans="4:11" ht="12.75">
      <c r="D184" s="4" t="s">
        <v>541</v>
      </c>
      <c r="E184" s="4">
        <v>2</v>
      </c>
      <c r="F184" s="4">
        <f>RDG!G66</f>
        <v>183</v>
      </c>
      <c r="G184" s="4">
        <f>IF(RDG!H66=0,"",RDG!H66)</f>
      </c>
      <c r="H184" s="30">
        <f t="shared" si="6"/>
        <v>1087221.3</v>
      </c>
      <c r="I184" s="4">
        <f t="shared" si="7"/>
        <v>0</v>
      </c>
      <c r="J184" s="31">
        <f>RDG!I66</f>
        <v>10458</v>
      </c>
      <c r="K184" s="31">
        <f>RDG!J66</f>
        <v>291826</v>
      </c>
    </row>
    <row r="185" spans="4:11" ht="12.75">
      <c r="D185" s="4" t="s">
        <v>541</v>
      </c>
      <c r="E185" s="4">
        <v>2</v>
      </c>
      <c r="F185" s="4">
        <f>RDG!G67</f>
        <v>184</v>
      </c>
      <c r="G185" s="4">
        <f>IF(RDG!H67=0,"",RDG!H67)</f>
      </c>
      <c r="H185" s="30">
        <f t="shared" si="6"/>
        <v>1093162.4000000001</v>
      </c>
      <c r="I185" s="4">
        <f t="shared" si="7"/>
        <v>0</v>
      </c>
      <c r="J185" s="31">
        <f>RDG!I67</f>
        <v>10458</v>
      </c>
      <c r="K185" s="31">
        <f>RDG!J67</f>
        <v>291826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112234913.75999999</v>
      </c>
      <c r="I233" s="4">
        <f t="shared" si="11"/>
        <v>0</v>
      </c>
      <c r="J233" s="31">
        <f>Dodatni!I26</f>
        <v>14423602</v>
      </c>
      <c r="K233" s="31">
        <f>Dodatni!J26</f>
        <v>16976758</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117072625.56</v>
      </c>
      <c r="I243" s="4">
        <f t="shared" si="11"/>
        <v>0</v>
      </c>
      <c r="J243" s="31">
        <f>Dodatni!I37</f>
        <v>14423602</v>
      </c>
      <c r="K243" s="31">
        <f>Dodatni!J37</f>
        <v>16976758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5174705.9399999995</v>
      </c>
      <c r="I247" s="4">
        <f t="shared" si="11"/>
        <v>0</v>
      </c>
      <c r="J247" s="31">
        <f>Dodatni!I43</f>
        <v>646913</v>
      </c>
      <c r="K247" s="31">
        <f>Dodatni!J43</f>
        <v>728313</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2058250</v>
      </c>
      <c r="I251" s="4">
        <f t="shared" si="11"/>
        <v>0</v>
      </c>
      <c r="J251" s="31">
        <f>Dodatni!I47</f>
        <v>0</v>
      </c>
      <c r="K251" s="31">
        <f>Dodatni!J47</f>
        <v>411650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3867590.16</v>
      </c>
      <c r="I253" s="4">
        <f t="shared" si="11"/>
        <v>0</v>
      </c>
      <c r="J253" s="31">
        <f>Dodatni!I50</f>
        <v>478824</v>
      </c>
      <c r="K253" s="31">
        <f>Dodatni!J50</f>
        <v>527967</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361530.24</v>
      </c>
      <c r="I259" s="4">
        <f t="shared" si="11"/>
        <v>0</v>
      </c>
      <c r="J259" s="31">
        <f>Dodatni!I56</f>
        <v>55538</v>
      </c>
      <c r="K259" s="31">
        <f>Dodatni!J56</f>
        <v>42295</v>
      </c>
    </row>
    <row r="260" spans="4:11" ht="12.75">
      <c r="D260" s="4" t="s">
        <v>1522</v>
      </c>
      <c r="E260" s="4">
        <v>3</v>
      </c>
      <c r="F260" s="4">
        <f>Dodatni!H57</f>
        <v>259</v>
      </c>
      <c r="H260" s="30">
        <f t="shared" si="10"/>
        <v>322237.44</v>
      </c>
      <c r="I260" s="4">
        <f t="shared" si="11"/>
        <v>0</v>
      </c>
      <c r="J260" s="31">
        <f>Dodatni!I57</f>
        <v>55784</v>
      </c>
      <c r="K260" s="31">
        <f>Dodatni!J57</f>
        <v>34316</v>
      </c>
    </row>
    <row r="261" spans="4:11" ht="12.75">
      <c r="D261" s="4" t="s">
        <v>1522</v>
      </c>
      <c r="E261" s="4">
        <v>3</v>
      </c>
      <c r="F261" s="4">
        <f>Dodatni!H58</f>
        <v>260</v>
      </c>
      <c r="H261" s="30">
        <f t="shared" si="10"/>
        <v>166069.8</v>
      </c>
      <c r="I261" s="4">
        <f t="shared" si="11"/>
        <v>0</v>
      </c>
      <c r="J261" s="31">
        <f>Dodatni!I58</f>
        <v>58775</v>
      </c>
      <c r="K261" s="31">
        <f>Dodatni!J58</f>
        <v>2549</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1826346.9799999997</v>
      </c>
      <c r="I263" s="4">
        <f t="shared" si="11"/>
        <v>0</v>
      </c>
      <c r="J263" s="31">
        <f>Dodatni!I60</f>
        <v>218993</v>
      </c>
      <c r="K263" s="31">
        <f>Dodatni!J60</f>
        <v>239043</v>
      </c>
    </row>
    <row r="264" spans="4:11" ht="12.75">
      <c r="D264" s="4" t="s">
        <v>1522</v>
      </c>
      <c r="E264" s="4">
        <v>3</v>
      </c>
      <c r="F264" s="4">
        <f>Dodatni!H61</f>
        <v>263</v>
      </c>
      <c r="H264" s="30">
        <f t="shared" si="10"/>
        <v>1833317.77</v>
      </c>
      <c r="I264" s="4">
        <f t="shared" si="11"/>
        <v>0</v>
      </c>
      <c r="J264" s="31">
        <f>Dodatni!I61</f>
        <v>218993</v>
      </c>
      <c r="K264" s="31">
        <f>Dodatni!J61</f>
        <v>239043</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77672</v>
      </c>
      <c r="I267" s="4">
        <f t="shared" si="11"/>
        <v>0</v>
      </c>
      <c r="J267" s="31">
        <f>Dodatni!I64</f>
        <v>9800</v>
      </c>
      <c r="K267" s="31">
        <f>Dodatni!J64</f>
        <v>9700</v>
      </c>
    </row>
    <row r="268" spans="4:11" ht="12.75">
      <c r="D268" s="4" t="s">
        <v>1522</v>
      </c>
      <c r="E268" s="4">
        <v>3</v>
      </c>
      <c r="F268" s="4">
        <f>Dodatni!H65</f>
        <v>267</v>
      </c>
      <c r="H268" s="30">
        <f t="shared" si="10"/>
        <v>3541722.9600000004</v>
      </c>
      <c r="I268" s="4">
        <f t="shared" si="11"/>
        <v>0</v>
      </c>
      <c r="J268" s="31">
        <f>Dodatni!I65</f>
        <v>190636</v>
      </c>
      <c r="K268" s="31">
        <f>Dodatni!J65</f>
        <v>567926</v>
      </c>
    </row>
    <row r="269" spans="4:11" ht="12.75">
      <c r="D269" s="4" t="s">
        <v>1522</v>
      </c>
      <c r="E269" s="4">
        <v>3</v>
      </c>
      <c r="F269" s="4">
        <f>Dodatni!H66</f>
        <v>268</v>
      </c>
      <c r="H269" s="30">
        <f t="shared" si="10"/>
        <v>852240</v>
      </c>
      <c r="I269" s="4">
        <f t="shared" si="11"/>
        <v>0</v>
      </c>
      <c r="J269" s="31">
        <f>Dodatni!I66</f>
        <v>0</v>
      </c>
      <c r="K269" s="31">
        <f>Dodatni!J66</f>
        <v>159000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8858.42</v>
      </c>
      <c r="I275" s="4">
        <f aca="true" t="shared" si="13" ref="I275:I284">ABS(ROUND(J275,0)-J275)+ABS(ROUND(K275,0)-K275)</f>
        <v>0</v>
      </c>
      <c r="J275" s="31">
        <f>Dodatni!I73</f>
        <v>945</v>
      </c>
      <c r="K275" s="31">
        <f>Dodatni!J73</f>
        <v>1144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657916.55</v>
      </c>
      <c r="I278" s="4">
        <f t="shared" si="13"/>
        <v>0</v>
      </c>
      <c r="J278" s="31">
        <f>Dodatni!I76</f>
        <v>63257</v>
      </c>
      <c r="K278" s="31">
        <f>Dodatni!J76</f>
        <v>87129</v>
      </c>
    </row>
    <row r="279" spans="4:11" ht="12.75">
      <c r="D279" s="4" t="s">
        <v>1522</v>
      </c>
      <c r="E279" s="4">
        <v>3</v>
      </c>
      <c r="F279" s="4">
        <f>Dodatni!H78</f>
        <v>278</v>
      </c>
      <c r="H279" s="30">
        <f t="shared" si="12"/>
        <v>18258219.9</v>
      </c>
      <c r="I279" s="4">
        <f t="shared" si="13"/>
        <v>0</v>
      </c>
      <c r="J279" s="31">
        <f>Dodatni!I78</f>
        <v>3501435</v>
      </c>
      <c r="K279" s="31">
        <f>Dodatni!J78</f>
        <v>1533135</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5175321.2</v>
      </c>
      <c r="I281" s="4">
        <f t="shared" si="13"/>
        <v>0</v>
      </c>
      <c r="J281" s="31">
        <f>Dodatni!I80</f>
        <v>817685</v>
      </c>
      <c r="K281" s="31">
        <f>Dodatni!J80</f>
        <v>515322</v>
      </c>
    </row>
    <row r="282" spans="4:11" ht="12.75">
      <c r="D282" s="4" t="s">
        <v>1522</v>
      </c>
      <c r="E282" s="4">
        <v>3</v>
      </c>
      <c r="F282" s="4">
        <f>Dodatni!H81</f>
        <v>281</v>
      </c>
      <c r="H282" s="30">
        <f t="shared" si="12"/>
        <v>13261446.559999999</v>
      </c>
      <c r="I282" s="4">
        <f t="shared" si="13"/>
        <v>0</v>
      </c>
      <c r="J282" s="31">
        <f>Dodatni!I81</f>
        <v>2683750</v>
      </c>
      <c r="K282" s="31">
        <f>Dodatni!J81</f>
        <v>1017813</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30"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9" activePane="bottomLeft" state="frozen"/>
      <selection pane="topLeft" activeCell="A2" sqref="A2"/>
      <selection pane="bottomLeft" activeCell="C118" sqref="C118:J11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MED EKO SERVIS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84407468394</v>
      </c>
      <c r="V3" s="211" t="s">
        <v>2355</v>
      </c>
      <c r="W3" s="232">
        <f>RefStr!C31</f>
        <v>52100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68103986020</v>
      </c>
      <c r="V4" s="211" t="s">
        <v>2356</v>
      </c>
      <c r="W4" s="232" t="str">
        <f>RefStr!F31</f>
        <v>PULA</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04034856</v>
      </c>
      <c r="V5" s="211" t="s">
        <v>2357</v>
      </c>
      <c r="W5" s="232" t="str">
        <f>RefStr!C33</f>
        <v>POMER 1</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040304304</v>
      </c>
      <c r="V6" s="211" t="s">
        <v>2568</v>
      </c>
      <c r="W6" s="232" t="str">
        <f>RefStr!L35</f>
        <v>052/573-136</v>
      </c>
      <c r="X6" s="211" t="s">
        <v>2514</v>
      </c>
      <c r="Y6" s="232" t="str">
        <f>RefStr!C68</f>
        <v>SAMANTA RADMAN ROJNIĆ</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REKLAMACIJE@MEDEKOSERVIS.HR</v>
      </c>
      <c r="X7" s="211" t="s">
        <v>2515</v>
      </c>
      <c r="Y7" s="232" t="str">
        <f>RefStr!C70</f>
        <v>052/573-136</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SAMANTA.ROJNIC@MEDEKOSERVIS.HR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40</v>
      </c>
      <c r="Q9" s="231">
        <f>RefStr!F58</f>
        <v>43</v>
      </c>
      <c r="R9" s="211" t="s">
        <v>1860</v>
      </c>
      <c r="S9" s="232">
        <f>IF(RefStr!F4&lt;&gt;"",RefStr!F4,0)</f>
        <v>43830</v>
      </c>
      <c r="T9" s="211" t="s">
        <v>1821</v>
      </c>
      <c r="U9" s="232">
        <f>RefStr!C39</f>
        <v>263</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40</v>
      </c>
      <c r="Q10" s="233">
        <f>RefStr!F56</f>
        <v>48</v>
      </c>
      <c r="R10" s="213" t="s">
        <v>1863</v>
      </c>
      <c r="S10" s="233">
        <f>RefStr!C23</f>
        <v>1</v>
      </c>
      <c r="T10" s="213" t="s">
        <v>2573</v>
      </c>
      <c r="U10" s="233" t="str">
        <f>RefStr!D39</f>
        <v>Medulin</v>
      </c>
      <c r="V10" s="240"/>
      <c r="W10" s="241"/>
      <c r="X10" s="242" t="s">
        <v>1974</v>
      </c>
      <c r="Y10" s="243">
        <f>RefStr!F12</f>
        <v>2019</v>
      </c>
      <c r="Z10" s="213" t="s">
        <v>209</v>
      </c>
      <c r="AA10" s="233" t="str">
        <f>RefStr!A75</f>
        <v>EDO KRAJCAR mag.oec.</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C:\Users\samanta\AppData\Local\Microsoft\Windows\Temporary Internet Files\Content.MSO\[Copy of GFI-POD 2019  MED EKO.xls]RefStr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 activePane="bottomLeft" state="frozen"/>
      <selection pane="topLeft" activeCell="A1" sqref="A1"/>
      <selection pane="bottomLeft" activeCell="B9" sqref="A9:N1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403485.6</v>
      </c>
    </row>
    <row r="13" spans="4:17" ht="9.75" customHeight="1">
      <c r="D13" s="156"/>
      <c r="E13" s="162"/>
      <c r="H13" s="27"/>
      <c r="I13" s="163"/>
      <c r="J13" s="163"/>
      <c r="K13" s="156"/>
      <c r="L13" s="156"/>
      <c r="M13" s="156"/>
      <c r="N13" s="156"/>
      <c r="P13" s="54" t="s">
        <v>2353</v>
      </c>
      <c r="Q13" s="55">
        <f>INT(VALUE(M27))/50</f>
        <v>806086.08</v>
      </c>
    </row>
    <row r="14" spans="1:17" ht="15">
      <c r="A14" s="321" t="s">
        <v>2714</v>
      </c>
      <c r="B14" s="321"/>
      <c r="C14" s="321"/>
      <c r="D14" s="164"/>
      <c r="E14" s="165"/>
      <c r="F14" s="319"/>
      <c r="G14" s="320"/>
      <c r="H14" s="320"/>
      <c r="I14" s="156"/>
      <c r="J14" s="327" t="s">
        <v>2100</v>
      </c>
      <c r="K14" s="328"/>
      <c r="L14" s="328"/>
      <c r="M14" s="328"/>
      <c r="N14" s="328"/>
      <c r="P14" s="54" t="s">
        <v>2718</v>
      </c>
      <c r="Q14" s="55">
        <f>INT(VALUE(C27))/100</f>
        <v>681039860.2</v>
      </c>
    </row>
    <row r="15" spans="1:17" ht="19.5" customHeight="1">
      <c r="A15" s="324">
        <f>Skriveni!B59</f>
        <v>2499800675.7299995</v>
      </c>
      <c r="B15" s="325"/>
      <c r="C15" s="326"/>
      <c r="D15" s="60"/>
      <c r="E15" s="60"/>
      <c r="F15" s="60"/>
      <c r="G15" s="60"/>
      <c r="H15" s="60"/>
      <c r="I15" s="60"/>
      <c r="J15" s="60"/>
      <c r="K15" s="60"/>
      <c r="L15" s="60"/>
      <c r="M15" s="60"/>
      <c r="N15" s="60"/>
      <c r="P15" s="54" t="s">
        <v>1817</v>
      </c>
      <c r="Q15" s="55">
        <f>LEN(Skriveni!B9)</f>
        <v>18</v>
      </c>
    </row>
    <row r="16" spans="4:17" ht="12.75" customHeight="1">
      <c r="D16" s="60"/>
      <c r="E16" s="60"/>
      <c r="F16" s="60"/>
      <c r="G16" s="60"/>
      <c r="H16" s="60"/>
      <c r="I16" s="60"/>
      <c r="P16" s="54" t="s">
        <v>1818</v>
      </c>
      <c r="Q16" s="55">
        <f>INT(VALUE(C31))/100</f>
        <v>521</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4</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7</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2965</v>
      </c>
      <c r="M21" s="342"/>
      <c r="N21" s="277"/>
      <c r="P21" s="54" t="s">
        <v>1821</v>
      </c>
      <c r="Q21" s="55">
        <f>INT(VALUE(C39))</f>
        <v>263</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52100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263</v>
      </c>
      <c r="D39" s="348" t="str">
        <f>IF(C39="","Šifra grada/općine nije upisana",IF(ISNA(LOOKUP(C39,A177:A732,A177:A732)),"Šifra grada/općine ne postoji",IF(LOOKUP(C39,A177:A732,A177:A732)&lt;&gt;C39,"Šifra grada/općine ne postoji",LOOKUP(C39,A177:A732,B177:B732))))</f>
        <v>Medulin</v>
      </c>
      <c r="E39" s="349"/>
      <c r="F39" s="349"/>
      <c r="G39" s="349"/>
      <c r="H39" s="272" t="s">
        <v>2222</v>
      </c>
      <c r="I39" s="344"/>
      <c r="J39" s="58">
        <f>IF(C39&gt;0,LOOKUP(C39,A177:A732,C177:C732),"")</f>
        <v>18</v>
      </c>
      <c r="K39" s="351" t="str">
        <f>IF(J39="","Treba prvo upisati šifru grada/općine",LOOKUP(J39,A153:A173,B153:B173))</f>
        <v>ISTARSKA</v>
      </c>
      <c r="L39" s="351"/>
      <c r="M39" s="351"/>
      <c r="N39" s="351"/>
      <c r="P39" s="54" t="s">
        <v>1826</v>
      </c>
      <c r="Q39" s="55">
        <f>C56+2*F56+3*C58+4*F58</f>
        <v>428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20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844074683.94</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40</v>
      </c>
      <c r="D56" s="270" t="s">
        <v>2898</v>
      </c>
      <c r="E56" s="380"/>
      <c r="F56" s="44">
        <v>48</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40</v>
      </c>
      <c r="D58" s="278" t="s">
        <v>2898</v>
      </c>
      <c r="E58" s="278"/>
      <c r="F58" s="44">
        <v>43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41" operator="equal" stopIfTrue="1">
      <formula>"DA"</formula>
    </cfRule>
  </conditionalFormatting>
  <conditionalFormatting sqref="F4:G4">
    <cfRule type="cellIs" priority="2" dxfId="38" operator="lessThan" stopIfTrue="1">
      <formula>$C$4</formula>
    </cfRule>
  </conditionalFormatting>
  <conditionalFormatting sqref="D44:N44">
    <cfRule type="cellIs" priority="5" dxfId="30" operator="equal" stopIfTrue="1">
      <formula>"Upisana je nepostojeća ili neprepoznatljiva šifra statusa autonomnosti"</formula>
    </cfRule>
  </conditionalFormatting>
  <conditionalFormatting sqref="N25 D17:N18 D26:N26">
    <cfRule type="cellIs" priority="6" dxfId="30" operator="equal" stopIfTrue="1">
      <formula>"Upisana je nepostojeća ili neprepoznatljiva vrsta izvještaja"</formula>
    </cfRule>
  </conditionalFormatting>
  <conditionalFormatting sqref="C20 D19 I20">
    <cfRule type="cellIs" priority="7" dxfId="30" operator="equal" stopIfTrue="1">
      <formula>"Nepostojeća ili neprepoznatljiva svrha predaje"</formula>
    </cfRule>
  </conditionalFormatting>
  <conditionalFormatting sqref="D42:N42">
    <cfRule type="cellIs" priority="8" dxfId="30" operator="equal" stopIfTrue="1">
      <formula>"Šifra NKD-a ne postoji"</formula>
    </cfRule>
  </conditionalFormatting>
  <conditionalFormatting sqref="E51:G51 D50:D51">
    <cfRule type="cellIs" priority="9" dxfId="30" operator="equal" stopIfTrue="1">
      <formula>"Nepostojeća oznaka veličine"</formula>
    </cfRule>
  </conditionalFormatting>
  <conditionalFormatting sqref="D52:H52">
    <cfRule type="cellIs" priority="10" dxfId="30" operator="equal" stopIfTrue="1">
      <formula>"Nepostojeća oznaka vlasništva"</formula>
    </cfRule>
  </conditionalFormatting>
  <conditionalFormatting sqref="D7:N7">
    <cfRule type="cellIs" priority="11" dxfId="30" operator="equal" stopIfTrue="1">
      <formula>"Upisana je nepostojeća ili neprepoznatljiva vrsta poslovnog subjekta"</formula>
    </cfRule>
  </conditionalFormatting>
  <conditionalFormatting sqref="D39:G39">
    <cfRule type="cellIs" priority="12" dxfId="30"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7" activePane="bottomLeft" state="frozen"/>
      <selection pane="topLeft" activeCell="A1" sqref="A1"/>
      <selection pane="bottomLeft" activeCell="H98" sqref="H9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68103986020; MED EKO SERVIS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12771092</v>
      </c>
      <c r="J10" s="70">
        <f>J11+J18+J28+J39+J44</f>
        <v>12799803</v>
      </c>
    </row>
    <row r="11" spans="1:10" ht="13.5" customHeight="1">
      <c r="A11" s="384" t="s">
        <v>1850</v>
      </c>
      <c r="B11" s="384"/>
      <c r="C11" s="384"/>
      <c r="D11" s="384"/>
      <c r="E11" s="384"/>
      <c r="F11" s="384"/>
      <c r="G11" s="19">
        <v>3</v>
      </c>
      <c r="H11" s="20" t="s">
        <v>2995</v>
      </c>
      <c r="I11" s="70">
        <f>SUM(I12:I17)</f>
        <v>73200</v>
      </c>
      <c r="J11" s="70">
        <f>SUM(J12:J17)</f>
        <v>65325</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73200</v>
      </c>
      <c r="J13" s="71">
        <v>65325</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t="s">
        <v>2995</v>
      </c>
      <c r="I18" s="70">
        <f>SUM(I19:I27)</f>
        <v>12697892</v>
      </c>
      <c r="J18" s="70">
        <f>SUM(J19:J27)</f>
        <v>12734478</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561625</v>
      </c>
      <c r="J20" s="71">
        <v>529766</v>
      </c>
    </row>
    <row r="21" spans="1:10" ht="13.5" customHeight="1">
      <c r="A21" s="383" t="s">
        <v>2177</v>
      </c>
      <c r="B21" s="383"/>
      <c r="C21" s="383"/>
      <c r="D21" s="383"/>
      <c r="E21" s="383"/>
      <c r="F21" s="383"/>
      <c r="G21" s="19">
        <v>13</v>
      </c>
      <c r="H21" s="20"/>
      <c r="I21" s="71">
        <v>2148357</v>
      </c>
      <c r="J21" s="71">
        <v>2230374</v>
      </c>
    </row>
    <row r="22" spans="1:10" ht="13.5" customHeight="1">
      <c r="A22" s="383" t="s">
        <v>2290</v>
      </c>
      <c r="B22" s="383"/>
      <c r="C22" s="383"/>
      <c r="D22" s="383"/>
      <c r="E22" s="383"/>
      <c r="F22" s="383"/>
      <c r="G22" s="19">
        <v>14</v>
      </c>
      <c r="H22" s="20"/>
      <c r="I22" s="71">
        <v>6237596</v>
      </c>
      <c r="J22" s="71">
        <v>6276324</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2996</v>
      </c>
      <c r="I25" s="71">
        <v>3745314</v>
      </c>
      <c r="J25" s="71">
        <v>3693014</v>
      </c>
    </row>
    <row r="26" spans="1:10" ht="13.5" customHeight="1">
      <c r="A26" s="383" t="s">
        <v>1084</v>
      </c>
      <c r="B26" s="383"/>
      <c r="C26" s="383"/>
      <c r="D26" s="383"/>
      <c r="E26" s="383"/>
      <c r="F26" s="383"/>
      <c r="G26" s="19">
        <v>18</v>
      </c>
      <c r="H26" s="20"/>
      <c r="I26" s="71">
        <v>5000</v>
      </c>
      <c r="J26" s="71">
        <v>5000</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2359037</v>
      </c>
      <c r="J45" s="70">
        <f>J46+J54+J61+J71</f>
        <v>2231900</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1757120</v>
      </c>
      <c r="J54" s="70">
        <f>SUM(J55:J60)</f>
        <v>2191245</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2971</v>
      </c>
      <c r="I57" s="71">
        <v>1535853</v>
      </c>
      <c r="J57" s="71">
        <v>2159412</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t="s">
        <v>2966</v>
      </c>
      <c r="I59" s="71">
        <v>29716</v>
      </c>
      <c r="J59" s="71">
        <f>25233</f>
        <v>25233</v>
      </c>
    </row>
    <row r="60" spans="1:10" ht="13.5" customHeight="1">
      <c r="A60" s="383" t="s">
        <v>2638</v>
      </c>
      <c r="B60" s="383"/>
      <c r="C60" s="383"/>
      <c r="D60" s="383"/>
      <c r="E60" s="383"/>
      <c r="F60" s="383"/>
      <c r="G60" s="19">
        <v>52</v>
      </c>
      <c r="H60" s="20" t="s">
        <v>2967</v>
      </c>
      <c r="I60" s="71">
        <v>191551</v>
      </c>
      <c r="J60" s="71">
        <f>1024+5576</f>
        <v>6600</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2970</v>
      </c>
      <c r="I71" s="71">
        <v>601917</v>
      </c>
      <c r="J71" s="71">
        <v>40655</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15130129</v>
      </c>
      <c r="J73" s="70">
        <f>J9+J10+J45+J72</f>
        <v>15031703</v>
      </c>
    </row>
    <row r="74" spans="1:10" ht="13.5" customHeight="1">
      <c r="A74" s="382" t="s">
        <v>257</v>
      </c>
      <c r="B74" s="382"/>
      <c r="C74" s="382"/>
      <c r="D74" s="382"/>
      <c r="E74" s="382"/>
      <c r="F74" s="382"/>
      <c r="G74" s="21">
        <v>66</v>
      </c>
      <c r="H74" s="22" t="s">
        <v>2968</v>
      </c>
      <c r="I74" s="72">
        <v>129971</v>
      </c>
      <c r="J74" s="72">
        <v>83014</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t="s">
        <v>2969</v>
      </c>
      <c r="I76" s="70">
        <f>I77+I78+I79+I85+I86+I90+I93+I96</f>
        <v>1078647</v>
      </c>
      <c r="J76" s="70">
        <f>J77+J78+J79+J85+J86+J90+J93+J96</f>
        <v>1370473</v>
      </c>
      <c r="L76" s="2" t="s">
        <v>2591</v>
      </c>
    </row>
    <row r="77" spans="1:10" ht="13.5" customHeight="1">
      <c r="A77" s="384" t="s">
        <v>935</v>
      </c>
      <c r="B77" s="384"/>
      <c r="C77" s="384"/>
      <c r="D77" s="384"/>
      <c r="E77" s="384"/>
      <c r="F77" s="384"/>
      <c r="G77" s="19">
        <v>68</v>
      </c>
      <c r="H77" s="20"/>
      <c r="I77" s="71">
        <v>1378900</v>
      </c>
      <c r="J77" s="71">
        <v>1378900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989</v>
      </c>
      <c r="J79" s="70">
        <f>J80+J81-J82+J83+J84</f>
        <v>989</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989</v>
      </c>
      <c r="J84" s="71">
        <v>989</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-311700</v>
      </c>
      <c r="J90" s="70">
        <f>J91-J92</f>
        <v>-301242</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311700</v>
      </c>
      <c r="J92" s="71">
        <v>301242</v>
      </c>
    </row>
    <row r="93" spans="1:12" ht="13.5" customHeight="1">
      <c r="A93" s="384" t="s">
        <v>2653</v>
      </c>
      <c r="B93" s="384"/>
      <c r="C93" s="384"/>
      <c r="D93" s="384"/>
      <c r="E93" s="384"/>
      <c r="F93" s="384"/>
      <c r="G93" s="19">
        <v>84</v>
      </c>
      <c r="H93" s="20"/>
      <c r="I93" s="70">
        <f>I94-I95</f>
        <v>10458</v>
      </c>
      <c r="J93" s="70">
        <f>J94-J95</f>
        <v>291826</v>
      </c>
      <c r="L93" s="2" t="s">
        <v>2591</v>
      </c>
    </row>
    <row r="94" spans="1:10" ht="13.5" customHeight="1">
      <c r="A94" s="383" t="s">
        <v>2640</v>
      </c>
      <c r="B94" s="383"/>
      <c r="C94" s="383"/>
      <c r="D94" s="383"/>
      <c r="E94" s="383"/>
      <c r="F94" s="383"/>
      <c r="G94" s="19">
        <v>85</v>
      </c>
      <c r="H94" s="20"/>
      <c r="I94" s="71">
        <v>10458</v>
      </c>
      <c r="J94" s="71">
        <f>364643-72817</f>
        <v>291826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t="s">
        <v>2972</v>
      </c>
      <c r="I97" s="70">
        <f>SUM(I98:I103)</f>
        <v>411650</v>
      </c>
      <c r="J97" s="70">
        <f>SUM(J98:J103)</f>
        <v>287401</v>
      </c>
    </row>
    <row r="98" spans="1:10" ht="13.5" customHeight="1">
      <c r="A98" s="383" t="s">
        <v>901</v>
      </c>
      <c r="B98" s="383"/>
      <c r="C98" s="383"/>
      <c r="D98" s="383"/>
      <c r="E98" s="383"/>
      <c r="F98" s="383"/>
      <c r="G98" s="19">
        <v>89</v>
      </c>
      <c r="H98" s="20"/>
      <c r="I98" s="71">
        <v>411650</v>
      </c>
      <c r="J98" s="71">
        <v>287401</v>
      </c>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2973</v>
      </c>
      <c r="I104" s="70">
        <f>SUM(I105:I115)</f>
        <v>1519330</v>
      </c>
      <c r="J104" s="70">
        <f>SUM(J105:J115)</f>
        <v>1292783</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2974</v>
      </c>
      <c r="I110" s="71">
        <v>1519330</v>
      </c>
      <c r="J110" s="71">
        <v>1292783</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t="s">
        <v>2973</v>
      </c>
      <c r="I116" s="70">
        <f>SUM(I117:I130)</f>
        <v>2485180</v>
      </c>
      <c r="J116" s="70">
        <f>SUM(J117:J130)</f>
        <v>2537966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t="s">
        <v>2975</v>
      </c>
      <c r="I122" s="71">
        <v>664509</v>
      </c>
      <c r="J122" s="71">
        <v>680072</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t="s">
        <v>2976</v>
      </c>
      <c r="I124" s="71">
        <v>1333894</v>
      </c>
      <c r="J124" s="71">
        <v>1216873</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283218</v>
      </c>
      <c r="J126" s="71">
        <v>306076</v>
      </c>
    </row>
    <row r="127" spans="1:10" ht="13.5" customHeight="1">
      <c r="A127" s="383" t="s">
        <v>364</v>
      </c>
      <c r="B127" s="383"/>
      <c r="C127" s="383"/>
      <c r="D127" s="383"/>
      <c r="E127" s="383"/>
      <c r="F127" s="383"/>
      <c r="G127" s="19">
        <v>118</v>
      </c>
      <c r="H127" s="20"/>
      <c r="I127" s="71">
        <v>198191</v>
      </c>
      <c r="J127" s="71">
        <f>120144+31897+138833+5963+31271+1</f>
        <v>328109</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5368</v>
      </c>
      <c r="J130" s="71">
        <f>3036+3800</f>
        <v>6836</v>
      </c>
    </row>
    <row r="131" spans="1:10" ht="24.75" customHeight="1">
      <c r="A131" s="381" t="s">
        <v>1560</v>
      </c>
      <c r="B131" s="381"/>
      <c r="C131" s="381"/>
      <c r="D131" s="381"/>
      <c r="E131" s="381"/>
      <c r="F131" s="381"/>
      <c r="G131" s="19">
        <v>122</v>
      </c>
      <c r="H131" s="20" t="s">
        <v>2977</v>
      </c>
      <c r="I131" s="71">
        <v>9635322</v>
      </c>
      <c r="J131" s="71">
        <v>9543080</v>
      </c>
    </row>
    <row r="132" spans="1:10" ht="13.5" customHeight="1">
      <c r="A132" s="381" t="s">
        <v>2657</v>
      </c>
      <c r="B132" s="381"/>
      <c r="C132" s="381"/>
      <c r="D132" s="381"/>
      <c r="E132" s="381"/>
      <c r="F132" s="381"/>
      <c r="G132" s="19">
        <v>123</v>
      </c>
      <c r="H132" s="20"/>
      <c r="I132" s="70">
        <f>I76+I97+I104+I116+I131</f>
        <v>15130129</v>
      </c>
      <c r="J132" s="70">
        <f>J76+J97+J104+J116+J131</f>
        <v>15031703</v>
      </c>
    </row>
    <row r="133" spans="1:10" ht="13.5" customHeight="1">
      <c r="A133" s="382" t="s">
        <v>662</v>
      </c>
      <c r="B133" s="382"/>
      <c r="C133" s="382"/>
      <c r="D133" s="382"/>
      <c r="E133" s="382"/>
      <c r="F133" s="382"/>
      <c r="G133" s="21">
        <v>124</v>
      </c>
      <c r="H133" s="22" t="s">
        <v>2968</v>
      </c>
      <c r="I133" s="72">
        <v>129971</v>
      </c>
      <c r="J133" s="72">
        <v>83014</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3" activePane="bottomLeft" state="frozen"/>
      <selection pane="topLeft" activeCell="A1" sqref="A1"/>
      <selection pane="bottomLeft" activeCell="H66" sqref="H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68103986020; MED EKO SERVIS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t="s">
        <v>2978</v>
      </c>
      <c r="I8" s="84">
        <f>SUM(I9:I13)</f>
        <v>15286337</v>
      </c>
      <c r="J8" s="84">
        <f>SUM(J9:J13)</f>
        <v>18257232</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2979</v>
      </c>
      <c r="I10" s="71">
        <v>14423602</v>
      </c>
      <c r="J10" s="71">
        <f>17001530-20208-1746-2818</f>
        <v>16976758</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2980</v>
      </c>
      <c r="I13" s="71">
        <v>862735</v>
      </c>
      <c r="J13" s="71">
        <f>1277656+2818</f>
        <v>1280474</v>
      </c>
    </row>
    <row r="14" spans="1:10" s="2" customFormat="1" ht="13.5" customHeight="1">
      <c r="A14" s="381" t="s">
        <v>1837</v>
      </c>
      <c r="B14" s="381"/>
      <c r="C14" s="381"/>
      <c r="D14" s="381"/>
      <c r="E14" s="381"/>
      <c r="F14" s="381"/>
      <c r="G14" s="19">
        <v>131</v>
      </c>
      <c r="H14" s="20" t="s">
        <v>2981</v>
      </c>
      <c r="I14" s="70">
        <f>I15+I16+I20+I24+I25+I26+I29+I36</f>
        <v>15156355</v>
      </c>
      <c r="J14" s="70">
        <f>J15+J16+J20+J24+J25+J26+J29+J36</f>
        <v>17797569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7682236</v>
      </c>
      <c r="J16" s="70">
        <f>SUM(J17:J19)</f>
        <v>8981987</v>
      </c>
    </row>
    <row r="17" spans="1:10" s="2" customFormat="1" ht="13.5" customHeight="1">
      <c r="A17" s="409" t="s">
        <v>504</v>
      </c>
      <c r="B17" s="409"/>
      <c r="C17" s="409"/>
      <c r="D17" s="409"/>
      <c r="E17" s="409"/>
      <c r="F17" s="409"/>
      <c r="G17" s="19">
        <v>134</v>
      </c>
      <c r="H17" s="20" t="s">
        <v>2982</v>
      </c>
      <c r="I17" s="71">
        <v>963034</v>
      </c>
      <c r="J17" s="71">
        <v>1106099</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t="s">
        <v>2983</v>
      </c>
      <c r="I19" s="71">
        <v>6719202</v>
      </c>
      <c r="J19" s="71">
        <v>7875888</v>
      </c>
    </row>
    <row r="20" spans="1:10" s="2" customFormat="1" ht="13.5" customHeight="1">
      <c r="A20" s="383" t="s">
        <v>1839</v>
      </c>
      <c r="B20" s="383"/>
      <c r="C20" s="383"/>
      <c r="D20" s="383"/>
      <c r="E20" s="383"/>
      <c r="F20" s="383"/>
      <c r="G20" s="19">
        <v>137</v>
      </c>
      <c r="H20" s="20" t="s">
        <v>2984</v>
      </c>
      <c r="I20" s="70">
        <f>SUM(I21:I23)</f>
        <v>4796144</v>
      </c>
      <c r="J20" s="70">
        <f>SUM(J21:J23)</f>
        <v>5725861</v>
      </c>
    </row>
    <row r="21" spans="1:10" s="2" customFormat="1" ht="13.5" customHeight="1">
      <c r="A21" s="409" t="s">
        <v>724</v>
      </c>
      <c r="B21" s="409"/>
      <c r="C21" s="409"/>
      <c r="D21" s="409"/>
      <c r="E21" s="409"/>
      <c r="F21" s="409"/>
      <c r="G21" s="19">
        <v>138</v>
      </c>
      <c r="H21" s="20"/>
      <c r="I21" s="71">
        <v>2985595</v>
      </c>
      <c r="J21" s="71">
        <v>3524474</v>
      </c>
    </row>
    <row r="22" spans="1:10" s="2" customFormat="1" ht="13.5" customHeight="1">
      <c r="A22" s="409" t="s">
        <v>961</v>
      </c>
      <c r="B22" s="409"/>
      <c r="C22" s="409"/>
      <c r="D22" s="409"/>
      <c r="E22" s="409"/>
      <c r="F22" s="409"/>
      <c r="G22" s="19">
        <v>139</v>
      </c>
      <c r="H22" s="20"/>
      <c r="I22" s="71">
        <v>1106819</v>
      </c>
      <c r="J22" s="71">
        <v>1427205</v>
      </c>
    </row>
    <row r="23" spans="1:10" s="2" customFormat="1" ht="13.5" customHeight="1">
      <c r="A23" s="409" t="s">
        <v>962</v>
      </c>
      <c r="B23" s="409"/>
      <c r="C23" s="409"/>
      <c r="D23" s="409"/>
      <c r="E23" s="409"/>
      <c r="F23" s="409"/>
      <c r="G23" s="19">
        <v>140</v>
      </c>
      <c r="H23" s="20"/>
      <c r="I23" s="71">
        <v>703730</v>
      </c>
      <c r="J23" s="71">
        <v>774182</v>
      </c>
    </row>
    <row r="24" spans="1:10" s="2" customFormat="1" ht="13.5" customHeight="1">
      <c r="A24" s="383" t="s">
        <v>259</v>
      </c>
      <c r="B24" s="383"/>
      <c r="C24" s="383"/>
      <c r="D24" s="383"/>
      <c r="E24" s="383"/>
      <c r="F24" s="383"/>
      <c r="G24" s="19">
        <v>141</v>
      </c>
      <c r="H24" s="20" t="s">
        <v>2985</v>
      </c>
      <c r="I24" s="71">
        <v>1111451</v>
      </c>
      <c r="J24" s="71">
        <v>1386138</v>
      </c>
    </row>
    <row r="25" spans="1:10" s="2" customFormat="1" ht="13.5" customHeight="1">
      <c r="A25" s="383" t="s">
        <v>260</v>
      </c>
      <c r="B25" s="383"/>
      <c r="C25" s="383"/>
      <c r="D25" s="383"/>
      <c r="E25" s="383"/>
      <c r="F25" s="383"/>
      <c r="G25" s="19">
        <v>142</v>
      </c>
      <c r="H25" s="20" t="s">
        <v>2986</v>
      </c>
      <c r="I25" s="71">
        <v>803674</v>
      </c>
      <c r="J25" s="71">
        <v>1289790</v>
      </c>
    </row>
    <row r="26" spans="1:12" s="2" customFormat="1" ht="13.5" customHeight="1">
      <c r="A26" s="383" t="s">
        <v>1840</v>
      </c>
      <c r="B26" s="383"/>
      <c r="C26" s="383"/>
      <c r="D26" s="383"/>
      <c r="E26" s="383"/>
      <c r="F26" s="383"/>
      <c r="G26" s="19">
        <v>143</v>
      </c>
      <c r="H26" s="20" t="s">
        <v>2987</v>
      </c>
      <c r="I26" s="70">
        <f>SUM(I27:I28)</f>
        <v>134079</v>
      </c>
      <c r="J26" s="70">
        <f>SUM(J27:J28)</f>
        <v>67777</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134079</v>
      </c>
      <c r="J28" s="71">
        <v>67777</v>
      </c>
      <c r="L28" s="2" t="s">
        <v>2591</v>
      </c>
    </row>
    <row r="29" spans="1:12" s="2" customFormat="1" ht="13.5" customHeight="1">
      <c r="A29" s="383" t="s">
        <v>1841</v>
      </c>
      <c r="B29" s="383"/>
      <c r="C29" s="383"/>
      <c r="D29" s="383"/>
      <c r="E29" s="383"/>
      <c r="F29" s="383"/>
      <c r="G29" s="19">
        <v>146</v>
      </c>
      <c r="H29" s="20" t="s">
        <v>2988</v>
      </c>
      <c r="I29" s="70">
        <f>SUM(I30:I35)</f>
        <v>411650</v>
      </c>
      <c r="J29" s="70">
        <f>SUM(J30:J35)</f>
        <v>287401</v>
      </c>
      <c r="L29" s="2" t="s">
        <v>2591</v>
      </c>
    </row>
    <row r="30" spans="1:12" s="2" customFormat="1" ht="13.5" customHeight="1">
      <c r="A30" s="409" t="s">
        <v>508</v>
      </c>
      <c r="B30" s="409"/>
      <c r="C30" s="409"/>
      <c r="D30" s="409"/>
      <c r="E30" s="409"/>
      <c r="F30" s="409"/>
      <c r="G30" s="19">
        <v>147</v>
      </c>
      <c r="H30" s="20"/>
      <c r="I30" s="71">
        <v>411650</v>
      </c>
      <c r="J30" s="71">
        <v>287401</v>
      </c>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2989</v>
      </c>
      <c r="I36" s="71">
        <v>217121</v>
      </c>
      <c r="J36" s="71">
        <v>58615</v>
      </c>
    </row>
    <row r="37" spans="1:10" s="2" customFormat="1" ht="13.5" customHeight="1">
      <c r="A37" s="381" t="s">
        <v>1842</v>
      </c>
      <c r="B37" s="381"/>
      <c r="C37" s="381"/>
      <c r="D37" s="381"/>
      <c r="E37" s="381"/>
      <c r="F37" s="381"/>
      <c r="G37" s="19">
        <v>154</v>
      </c>
      <c r="H37" s="20" t="s">
        <v>2990</v>
      </c>
      <c r="I37" s="70">
        <f>SUM(I38:I47)</f>
        <v>17387</v>
      </c>
      <c r="J37" s="70">
        <f>SUM(J38:J47)</f>
        <v>1223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945</v>
      </c>
      <c r="J44" s="71">
        <v>1144</v>
      </c>
    </row>
    <row r="45" spans="1:10" s="2" customFormat="1" ht="13.5" customHeight="1">
      <c r="A45" s="383" t="s">
        <v>1428</v>
      </c>
      <c r="B45" s="383"/>
      <c r="C45" s="383"/>
      <c r="D45" s="383"/>
      <c r="E45" s="383"/>
      <c r="F45" s="383"/>
      <c r="G45" s="19">
        <v>162</v>
      </c>
      <c r="H45" s="20"/>
      <c r="I45" s="71">
        <v>16442</v>
      </c>
      <c r="J45" s="71">
        <v>79</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t="s">
        <v>2991</v>
      </c>
      <c r="I48" s="70">
        <f>SUM(I49:I55)</f>
        <v>85726</v>
      </c>
      <c r="J48" s="70">
        <f>SUM(J49:J55)</f>
        <v>96244</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63257</v>
      </c>
      <c r="J51" s="71">
        <f>536+86593</f>
        <v>87129</v>
      </c>
    </row>
    <row r="52" spans="1:10" s="2" customFormat="1" ht="13.5" customHeight="1">
      <c r="A52" s="403" t="s">
        <v>1439</v>
      </c>
      <c r="B52" s="403"/>
      <c r="C52" s="403"/>
      <c r="D52" s="403"/>
      <c r="E52" s="403"/>
      <c r="F52" s="403"/>
      <c r="G52" s="19">
        <v>169</v>
      </c>
      <c r="H52" s="20"/>
      <c r="I52" s="71">
        <v>2469</v>
      </c>
      <c r="J52" s="71">
        <v>9115</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20000</v>
      </c>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2992</v>
      </c>
      <c r="I60" s="70">
        <f>I8+I37+I56+I57</f>
        <v>15303724</v>
      </c>
      <c r="J60" s="70">
        <f>J8+J37+J56+J57</f>
        <v>18258455</v>
      </c>
    </row>
    <row r="61" spans="1:10" s="2" customFormat="1" ht="13.5" customHeight="1">
      <c r="A61" s="381" t="s">
        <v>1845</v>
      </c>
      <c r="B61" s="381"/>
      <c r="C61" s="381"/>
      <c r="D61" s="381"/>
      <c r="E61" s="381"/>
      <c r="F61" s="381"/>
      <c r="G61" s="19">
        <v>178</v>
      </c>
      <c r="H61" s="20" t="s">
        <v>2993</v>
      </c>
      <c r="I61" s="70">
        <f>I14+I48+I58+I59</f>
        <v>15242081</v>
      </c>
      <c r="J61" s="70">
        <f>J14+J48+J58+J59</f>
        <v>17893813</v>
      </c>
    </row>
    <row r="62" spans="1:12" s="2" customFormat="1" ht="13.5" customHeight="1">
      <c r="A62" s="381" t="s">
        <v>2581</v>
      </c>
      <c r="B62" s="381"/>
      <c r="C62" s="381"/>
      <c r="D62" s="381"/>
      <c r="E62" s="381"/>
      <c r="F62" s="381"/>
      <c r="G62" s="19">
        <v>179</v>
      </c>
      <c r="H62" s="20"/>
      <c r="I62" s="70">
        <f>I60-I61</f>
        <v>61643</v>
      </c>
      <c r="J62" s="70">
        <f>J60-J61</f>
        <v>364642</v>
      </c>
      <c r="L62" s="2" t="s">
        <v>2591</v>
      </c>
    </row>
    <row r="63" spans="1:10" s="2" customFormat="1" ht="13.5" customHeight="1">
      <c r="A63" s="403" t="s">
        <v>2658</v>
      </c>
      <c r="B63" s="403"/>
      <c r="C63" s="403"/>
      <c r="D63" s="403"/>
      <c r="E63" s="403"/>
      <c r="F63" s="403"/>
      <c r="G63" s="19">
        <v>180</v>
      </c>
      <c r="H63" s="20"/>
      <c r="I63" s="70">
        <f>IF(I60&gt;I61,I60-I61,0)</f>
        <v>61643</v>
      </c>
      <c r="J63" s="70">
        <f>IF(J60&gt;J61,J60-J61,0)</f>
        <v>364642</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t="s">
        <v>2994</v>
      </c>
      <c r="I65" s="71">
        <v>51185</v>
      </c>
      <c r="J65" s="71">
        <v>72816</v>
      </c>
      <c r="L65" s="2" t="s">
        <v>2591</v>
      </c>
    </row>
    <row r="66" spans="1:12" s="2" customFormat="1" ht="13.5" customHeight="1">
      <c r="A66" s="381" t="s">
        <v>2582</v>
      </c>
      <c r="B66" s="381"/>
      <c r="C66" s="381"/>
      <c r="D66" s="381"/>
      <c r="E66" s="381"/>
      <c r="F66" s="381"/>
      <c r="G66" s="19">
        <v>183</v>
      </c>
      <c r="H66" s="20"/>
      <c r="I66" s="70">
        <f>I62-I65</f>
        <v>10458</v>
      </c>
      <c r="J66" s="70">
        <f>J62-J65</f>
        <v>291826</v>
      </c>
      <c r="L66" s="2" t="s">
        <v>2591</v>
      </c>
    </row>
    <row r="67" spans="1:10" s="2" customFormat="1" ht="13.5" customHeight="1">
      <c r="A67" s="403" t="s">
        <v>779</v>
      </c>
      <c r="B67" s="403"/>
      <c r="C67" s="403"/>
      <c r="D67" s="403"/>
      <c r="E67" s="403"/>
      <c r="F67" s="403"/>
      <c r="G67" s="19">
        <v>184</v>
      </c>
      <c r="H67" s="20"/>
      <c r="I67" s="70">
        <f>IF(I66&gt;0,I66,0)</f>
        <v>10458</v>
      </c>
      <c r="J67" s="70">
        <f>IF(J66&gt;0,J66,0)</f>
        <v>291826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3" activePane="bottomLeft" state="frozen"/>
      <selection pane="topLeft" activeCell="A1" sqref="A1"/>
      <selection pane="bottomLeft" activeCell="J38" sqref="J3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68103986020; MED EKO SERVIS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1">
        <v>14423602</v>
      </c>
      <c r="J26" s="77">
        <v>16976758</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71">
        <v>14423602</v>
      </c>
      <c r="J37" s="94">
        <v>16976758</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646913</v>
      </c>
      <c r="J43" s="77">
        <v>728313</v>
      </c>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v>411650</v>
      </c>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478824</v>
      </c>
      <c r="J50" s="77">
        <v>527967</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v>55538</v>
      </c>
      <c r="J56" s="77">
        <f>13505+28790</f>
        <v>42295</v>
      </c>
    </row>
    <row r="57" spans="1:10" s="2" customFormat="1" ht="25.5" customHeight="1">
      <c r="A57" s="403" t="s">
        <v>2444</v>
      </c>
      <c r="B57" s="403"/>
      <c r="C57" s="403"/>
      <c r="D57" s="403"/>
      <c r="E57" s="403"/>
      <c r="F57" s="403"/>
      <c r="G57" s="443"/>
      <c r="H57" s="19">
        <v>259</v>
      </c>
      <c r="I57" s="77">
        <v>55784</v>
      </c>
      <c r="J57" s="77">
        <f>13171+21145</f>
        <v>34316</v>
      </c>
    </row>
    <row r="58" spans="1:10" s="2" customFormat="1" ht="13.5" customHeight="1">
      <c r="A58" s="403" t="s">
        <v>2436</v>
      </c>
      <c r="B58" s="403"/>
      <c r="C58" s="403"/>
      <c r="D58" s="403"/>
      <c r="E58" s="403"/>
      <c r="F58" s="403"/>
      <c r="G58" s="443"/>
      <c r="H58" s="19">
        <v>260</v>
      </c>
      <c r="I58" s="77">
        <v>58775</v>
      </c>
      <c r="J58" s="77">
        <v>2549</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218993</v>
      </c>
      <c r="J60" s="77">
        <v>239043</v>
      </c>
    </row>
    <row r="61" spans="1:10" s="2" customFormat="1" ht="13.5" customHeight="1">
      <c r="A61" s="444" t="s">
        <v>2445</v>
      </c>
      <c r="B61" s="444"/>
      <c r="C61" s="444"/>
      <c r="D61" s="444"/>
      <c r="E61" s="444"/>
      <c r="F61" s="444"/>
      <c r="G61" s="445"/>
      <c r="H61" s="19">
        <v>263</v>
      </c>
      <c r="I61" s="77">
        <v>218993</v>
      </c>
      <c r="J61" s="77">
        <v>239043</v>
      </c>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9800</v>
      </c>
      <c r="J64" s="77">
        <v>9700</v>
      </c>
    </row>
    <row r="65" spans="1:10" s="2" customFormat="1" ht="13.5" customHeight="1">
      <c r="A65" s="403" t="s">
        <v>2442</v>
      </c>
      <c r="B65" s="403"/>
      <c r="C65" s="403"/>
      <c r="D65" s="403"/>
      <c r="E65" s="403"/>
      <c r="F65" s="403"/>
      <c r="G65" s="443"/>
      <c r="H65" s="19">
        <v>267</v>
      </c>
      <c r="I65" s="77">
        <v>190636</v>
      </c>
      <c r="J65" s="77">
        <f>760355-182729-9700</f>
        <v>567926</v>
      </c>
    </row>
    <row r="66" spans="1:10" s="2" customFormat="1" ht="13.5" customHeight="1">
      <c r="A66" s="444" t="s">
        <v>2903</v>
      </c>
      <c r="B66" s="444"/>
      <c r="C66" s="444"/>
      <c r="D66" s="444"/>
      <c r="E66" s="444"/>
      <c r="F66" s="444"/>
      <c r="G66" s="445"/>
      <c r="H66" s="19">
        <v>268</v>
      </c>
      <c r="I66" s="77"/>
      <c r="J66" s="77">
        <f>118500+40500</f>
        <v>159000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945</v>
      </c>
      <c r="J73" s="71">
        <v>1144</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63257</v>
      </c>
      <c r="J76" s="71">
        <f>536+86593</f>
        <v>87129</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3501435</v>
      </c>
      <c r="J78" s="228">
        <f>SUM(J79:J82)</f>
        <v>1533135</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817685</v>
      </c>
      <c r="J80" s="77">
        <v>515322</v>
      </c>
    </row>
    <row r="81" spans="1:10" s="2" customFormat="1" ht="13.5" customHeight="1">
      <c r="A81" s="403" t="s">
        <v>1</v>
      </c>
      <c r="B81" s="403"/>
      <c r="C81" s="403"/>
      <c r="D81" s="403"/>
      <c r="E81" s="403"/>
      <c r="F81" s="403"/>
      <c r="G81" s="443"/>
      <c r="H81" s="19">
        <v>281</v>
      </c>
      <c r="I81" s="77">
        <v>2683750</v>
      </c>
      <c r="J81" s="77">
        <v>1017813</v>
      </c>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25 I38:J38 I40:J40 I42:J47 I78:J86 I74:J75 I88:J88 I49:J67 I71:J71 I76 I73 I27:J35 J26 J37">
    <cfRule type="cellIs" priority="9" dxfId="2" operator="notEqual" stopIfTrue="1">
      <formula>ROUND(I9,0)</formula>
    </cfRule>
    <cfRule type="cellIs" priority="10" dxfId="1" operator="lessThan" stopIfTrue="1">
      <formula>0</formula>
    </cfRule>
  </conditionalFormatting>
  <conditionalFormatting sqref="I68:J70">
    <cfRule type="cellIs" priority="11" dxfId="2" operator="notEqual" stopIfTrue="1">
      <formula>ROUND(I68,0)</formula>
    </cfRule>
  </conditionalFormatting>
  <conditionalFormatting sqref="J76">
    <cfRule type="cellIs" priority="7" dxfId="2" operator="notEqual" stopIfTrue="1">
      <formula>ROUND(J76,0)</formula>
    </cfRule>
    <cfRule type="cellIs" priority="8" dxfId="1" operator="lessThan" stopIfTrue="1">
      <formula>0</formula>
    </cfRule>
  </conditionalFormatting>
  <conditionalFormatting sqref="J73">
    <cfRule type="cellIs" priority="5" dxfId="2" operator="notEqual" stopIfTrue="1">
      <formula>ROUND(J73,0)</formula>
    </cfRule>
    <cfRule type="cellIs" priority="6" dxfId="1" operator="lessThan" stopIfTrue="1">
      <formula>0</formula>
    </cfRule>
  </conditionalFormatting>
  <conditionalFormatting sqref="I26">
    <cfRule type="cellIs" priority="3" dxfId="2" operator="notEqual" stopIfTrue="1">
      <formula>ROUND(I26,0)</formula>
    </cfRule>
    <cfRule type="cellIs" priority="4" dxfId="1" operator="lessThan" stopIfTrue="1">
      <formula>0</formula>
    </cfRule>
  </conditionalFormatting>
  <conditionalFormatting sqref="I37">
    <cfRule type="cellIs" priority="1" dxfId="2" operator="notEqual" stopIfTrue="1">
      <formula>ROUND(I37,0)</formula>
    </cfRule>
    <cfRule type="cellIs" priority="2" dxfId="1" operator="lessThan" stopIfTrue="1">
      <formula>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68103986020; MED EKO SERVIS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68103986020; MED EKO SERVIS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68103986020; MED EKO SERVIS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Samanta Rojnić</cp:lastModifiedBy>
  <cp:lastPrinted>2020-06-15T09:24:12Z</cp:lastPrinted>
  <dcterms:created xsi:type="dcterms:W3CDTF">2008-10-17T11:51:54Z</dcterms:created>
  <dcterms:modified xsi:type="dcterms:W3CDTF">2020-06-15T10:42:32Z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