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RADNA POVRŠINA\planovi poslovanja\Med eko 2022\"/>
    </mc:Choice>
  </mc:AlternateContent>
  <xr:revisionPtr revIDLastSave="0" documentId="13_ncr:1_{B11070C5-8781-47F7-8E40-077B94D0CD39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SVI ODJELI" sheetId="1" r:id="rId1"/>
    <sheet name="01 -OPĆI" sheetId="2" r:id="rId2"/>
    <sheet name="02- KOMUNALNI" sheetId="3" r:id="rId3"/>
    <sheet name="03-SMEĆE" sheetId="4" r:id="rId4"/>
    <sheet name="04-H.G.I." sheetId="6" r:id="rId5"/>
    <sheet name="ZBROJ 02 I 04" sheetId="9" r:id="rId6"/>
    <sheet name="05-IGRALIŠTA" sheetId="7" state="hidden" r:id="rId7"/>
    <sheet name="08-PREFAKTURIRATI ALBANEŽ" sheetId="8" state="hidden" r:id="rId8"/>
    <sheet name="04-PROMIDŽBA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0" i="1"/>
  <c r="E61" i="1"/>
  <c r="E62" i="1"/>
  <c r="E63" i="1"/>
  <c r="E65" i="1"/>
  <c r="E66" i="1"/>
  <c r="E71" i="1"/>
  <c r="E72" i="1"/>
  <c r="E74" i="1"/>
  <c r="E75" i="1"/>
  <c r="E76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3" i="1"/>
  <c r="E94" i="1"/>
  <c r="E95" i="1"/>
  <c r="E96" i="1"/>
  <c r="E98" i="1"/>
  <c r="E99" i="1"/>
  <c r="E100" i="1"/>
  <c r="E101" i="1"/>
  <c r="E102" i="1"/>
  <c r="E103" i="1"/>
  <c r="E104" i="1"/>
  <c r="E105" i="1"/>
  <c r="E106" i="1"/>
  <c r="E107" i="1"/>
  <c r="E109" i="1"/>
  <c r="E110" i="1"/>
  <c r="E111" i="1"/>
  <c r="E112" i="1"/>
  <c r="E113" i="1"/>
  <c r="E114" i="1"/>
  <c r="E115" i="1"/>
  <c r="E116" i="1"/>
  <c r="E117" i="1"/>
  <c r="E118" i="1"/>
  <c r="E119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31" i="1"/>
  <c r="E29" i="1"/>
  <c r="E10" i="1"/>
  <c r="E11" i="1"/>
  <c r="E12" i="1"/>
  <c r="E13" i="1"/>
  <c r="E14" i="1"/>
  <c r="E15" i="1"/>
  <c r="E16" i="1"/>
  <c r="E18" i="1"/>
  <c r="E20" i="1"/>
  <c r="E21" i="1"/>
  <c r="E22" i="1"/>
  <c r="E23" i="1"/>
  <c r="E24" i="1"/>
  <c r="E25" i="1"/>
  <c r="E9" i="1"/>
  <c r="E32" i="9"/>
  <c r="E33" i="9"/>
  <c r="E34" i="9"/>
  <c r="E35" i="9"/>
  <c r="E36" i="9"/>
  <c r="E39" i="9"/>
  <c r="E40" i="9"/>
  <c r="E47" i="9"/>
  <c r="E48" i="9"/>
  <c r="E49" i="9"/>
  <c r="E52" i="9"/>
  <c r="E54" i="9"/>
  <c r="E55" i="9"/>
  <c r="E57" i="9"/>
  <c r="E60" i="9"/>
  <c r="E65" i="9"/>
  <c r="E66" i="9"/>
  <c r="E74" i="9"/>
  <c r="E75" i="9"/>
  <c r="E78" i="9"/>
  <c r="E81" i="9"/>
  <c r="E82" i="9"/>
  <c r="E83" i="9"/>
  <c r="E84" i="9"/>
  <c r="E85" i="9"/>
  <c r="E86" i="9"/>
  <c r="E87" i="9"/>
  <c r="E89" i="9"/>
  <c r="E90" i="9"/>
  <c r="E91" i="9"/>
  <c r="E93" i="9"/>
  <c r="E94" i="9"/>
  <c r="E99" i="9"/>
  <c r="E100" i="9"/>
  <c r="E101" i="9"/>
  <c r="E102" i="9"/>
  <c r="E103" i="9"/>
  <c r="E104" i="9"/>
  <c r="E105" i="9"/>
  <c r="E107" i="9"/>
  <c r="E109" i="9"/>
  <c r="E110" i="9"/>
  <c r="E111" i="9"/>
  <c r="E112" i="9"/>
  <c r="E113" i="9"/>
  <c r="E115" i="9"/>
  <c r="E122" i="9"/>
  <c r="E123" i="9"/>
  <c r="E125" i="9"/>
  <c r="E126" i="9"/>
  <c r="E128" i="9"/>
  <c r="E129" i="9"/>
  <c r="E130" i="9"/>
  <c r="E134" i="9"/>
  <c r="E31" i="9"/>
  <c r="E29" i="9"/>
  <c r="E11" i="9"/>
  <c r="E12" i="9"/>
  <c r="E16" i="9"/>
  <c r="E18" i="9"/>
  <c r="E22" i="9"/>
  <c r="E23" i="9"/>
  <c r="E25" i="9"/>
  <c r="E9" i="9"/>
  <c r="E55" i="6"/>
  <c r="E75" i="6"/>
  <c r="E78" i="6"/>
  <c r="E83" i="6"/>
  <c r="E85" i="6"/>
  <c r="E87" i="6"/>
  <c r="E89" i="6"/>
  <c r="E90" i="6"/>
  <c r="E32" i="6"/>
  <c r="E33" i="6"/>
  <c r="E34" i="6"/>
  <c r="E35" i="6"/>
  <c r="E36" i="6"/>
  <c r="E39" i="6"/>
  <c r="E40" i="6"/>
  <c r="E48" i="6"/>
  <c r="E49" i="6"/>
  <c r="E99" i="6"/>
  <c r="E100" i="6"/>
  <c r="E101" i="6"/>
  <c r="E102" i="6"/>
  <c r="E104" i="6"/>
  <c r="E105" i="6"/>
  <c r="E107" i="6"/>
  <c r="E109" i="6"/>
  <c r="E112" i="6"/>
  <c r="E113" i="6"/>
  <c r="E123" i="6"/>
  <c r="E125" i="6"/>
  <c r="E126" i="6"/>
  <c r="E129" i="6"/>
  <c r="E130" i="6"/>
  <c r="E134" i="6"/>
  <c r="E31" i="6"/>
  <c r="E29" i="6"/>
  <c r="E11" i="6"/>
  <c r="E16" i="6"/>
  <c r="E18" i="6"/>
  <c r="E22" i="6"/>
  <c r="E23" i="6"/>
  <c r="E25" i="6"/>
  <c r="E9" i="6"/>
  <c r="E32" i="4"/>
  <c r="E33" i="4"/>
  <c r="E34" i="4"/>
  <c r="E35" i="4"/>
  <c r="E36" i="4"/>
  <c r="E37" i="4"/>
  <c r="E38" i="4"/>
  <c r="E39" i="4"/>
  <c r="E41" i="4"/>
  <c r="E43" i="4"/>
  <c r="E44" i="4"/>
  <c r="E45" i="4"/>
  <c r="E47" i="4"/>
  <c r="E48" i="4"/>
  <c r="E49" i="4"/>
  <c r="E50" i="4"/>
  <c r="E51" i="4"/>
  <c r="E52" i="4"/>
  <c r="E53" i="4"/>
  <c r="E54" i="4"/>
  <c r="E55" i="4"/>
  <c r="E56" i="4"/>
  <c r="E57" i="4"/>
  <c r="E60" i="4"/>
  <c r="E61" i="4"/>
  <c r="E62" i="4"/>
  <c r="E65" i="4"/>
  <c r="E66" i="4"/>
  <c r="E71" i="4"/>
  <c r="E74" i="4"/>
  <c r="E75" i="4"/>
  <c r="E78" i="4"/>
  <c r="E79" i="4"/>
  <c r="E80" i="4"/>
  <c r="E88" i="4"/>
  <c r="E91" i="4"/>
  <c r="E95" i="4"/>
  <c r="E96" i="4"/>
  <c r="E98" i="4"/>
  <c r="E99" i="4"/>
  <c r="E100" i="4"/>
  <c r="E101" i="4"/>
  <c r="E102" i="4"/>
  <c r="E103" i="4"/>
  <c r="E104" i="4"/>
  <c r="E105" i="4"/>
  <c r="E106" i="4"/>
  <c r="E107" i="4"/>
  <c r="E109" i="4"/>
  <c r="E110" i="4"/>
  <c r="E112" i="4"/>
  <c r="E113" i="4"/>
  <c r="E115" i="4"/>
  <c r="E116" i="4"/>
  <c r="E117" i="4"/>
  <c r="E118" i="4"/>
  <c r="E119" i="4"/>
  <c r="E121" i="4"/>
  <c r="E122" i="4"/>
  <c r="E123" i="4"/>
  <c r="E124" i="4"/>
  <c r="E125" i="4"/>
  <c r="E126" i="4"/>
  <c r="E127" i="4"/>
  <c r="E128" i="4"/>
  <c r="E129" i="4"/>
  <c r="E130" i="4"/>
  <c r="E131" i="4"/>
  <c r="E133" i="4"/>
  <c r="E134" i="4"/>
  <c r="E31" i="4"/>
  <c r="E29" i="4"/>
  <c r="E13" i="4"/>
  <c r="E14" i="4"/>
  <c r="E15" i="4"/>
  <c r="E18" i="4"/>
  <c r="E20" i="4"/>
  <c r="E22" i="4"/>
  <c r="E23" i="4"/>
  <c r="E24" i="4"/>
  <c r="E25" i="4"/>
  <c r="E9" i="4"/>
  <c r="E31" i="3"/>
  <c r="E32" i="3"/>
  <c r="E33" i="3"/>
  <c r="E36" i="3"/>
  <c r="E39" i="3"/>
  <c r="E40" i="3"/>
  <c r="E47" i="3"/>
  <c r="E48" i="3"/>
  <c r="E49" i="3"/>
  <c r="E52" i="3"/>
  <c r="E54" i="3"/>
  <c r="E55" i="3"/>
  <c r="E57" i="3"/>
  <c r="E60" i="3"/>
  <c r="E65" i="3"/>
  <c r="E66" i="3"/>
  <c r="E74" i="3"/>
  <c r="E81" i="3"/>
  <c r="E82" i="3"/>
  <c r="E84" i="3"/>
  <c r="E86" i="3"/>
  <c r="E91" i="3"/>
  <c r="E93" i="3"/>
  <c r="E94" i="3"/>
  <c r="E99" i="3"/>
  <c r="E100" i="3"/>
  <c r="E101" i="3"/>
  <c r="E103" i="3"/>
  <c r="E104" i="3"/>
  <c r="E105" i="3"/>
  <c r="E106" i="3"/>
  <c r="E107" i="3"/>
  <c r="E108" i="3"/>
  <c r="E109" i="3"/>
  <c r="E110" i="3"/>
  <c r="E111" i="3"/>
  <c r="E112" i="3"/>
  <c r="E113" i="3"/>
  <c r="E115" i="3"/>
  <c r="E122" i="3"/>
  <c r="E123" i="3"/>
  <c r="E126" i="3"/>
  <c r="E128" i="3"/>
  <c r="E129" i="3"/>
  <c r="E134" i="3"/>
  <c r="E29" i="3"/>
  <c r="E11" i="3"/>
  <c r="E12" i="3"/>
  <c r="E25" i="3"/>
  <c r="E9" i="3"/>
  <c r="E127" i="2"/>
  <c r="E32" i="2"/>
  <c r="E33" i="2"/>
  <c r="E34" i="2"/>
  <c r="E35" i="2"/>
  <c r="E36" i="2"/>
  <c r="E37" i="2"/>
  <c r="E39" i="2"/>
  <c r="E43" i="2"/>
  <c r="E45" i="2"/>
  <c r="E46" i="2"/>
  <c r="E48" i="2"/>
  <c r="E49" i="2"/>
  <c r="E51" i="2"/>
  <c r="E53" i="2"/>
  <c r="E55" i="2"/>
  <c r="E56" i="2"/>
  <c r="E57" i="2"/>
  <c r="E58" i="2"/>
  <c r="E60" i="2"/>
  <c r="E63" i="2"/>
  <c r="E71" i="2"/>
  <c r="E72" i="2"/>
  <c r="E75" i="2"/>
  <c r="E76" i="2"/>
  <c r="E78" i="2"/>
  <c r="E79" i="2"/>
  <c r="E91" i="2"/>
  <c r="E95" i="2"/>
  <c r="E96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8" i="2"/>
  <c r="E119" i="2"/>
  <c r="E122" i="2"/>
  <c r="E123" i="2"/>
  <c r="E125" i="2"/>
  <c r="E126" i="2"/>
  <c r="E128" i="2"/>
  <c r="E129" i="2"/>
  <c r="E130" i="2"/>
  <c r="E133" i="2"/>
  <c r="E134" i="2"/>
  <c r="E31" i="2"/>
  <c r="E29" i="2"/>
  <c r="E10" i="2"/>
  <c r="E20" i="2"/>
  <c r="E21" i="2"/>
  <c r="E23" i="2"/>
  <c r="E24" i="2"/>
  <c r="E9" i="2"/>
  <c r="D131" i="4"/>
  <c r="D100" i="2"/>
  <c r="C130" i="4"/>
  <c r="D16" i="6" l="1"/>
  <c r="D23" i="6"/>
  <c r="D113" i="4"/>
  <c r="D100" i="4"/>
  <c r="D23" i="4"/>
  <c r="D113" i="3"/>
  <c r="D100" i="3"/>
  <c r="D116" i="2"/>
  <c r="D113" i="2"/>
  <c r="D128" i="2"/>
  <c r="D20" i="2"/>
  <c r="D15" i="4" l="1"/>
  <c r="D13" i="4"/>
  <c r="D127" i="4" l="1"/>
  <c r="D125" i="4"/>
  <c r="D104" i="4"/>
  <c r="D103" i="4"/>
  <c r="D75" i="4"/>
  <c r="D55" i="4"/>
  <c r="D50" i="4"/>
  <c r="D36" i="4"/>
  <c r="D34" i="4"/>
  <c r="D35" i="4"/>
  <c r="D113" i="6"/>
  <c r="D112" i="6"/>
  <c r="D104" i="6"/>
  <c r="D100" i="6"/>
  <c r="D34" i="6"/>
  <c r="D32" i="6"/>
  <c r="D55" i="6"/>
  <c r="D49" i="6"/>
  <c r="D36" i="6"/>
  <c r="D35" i="6"/>
  <c r="D33" i="6"/>
  <c r="D122" i="3"/>
  <c r="D110" i="3"/>
  <c r="D104" i="3"/>
  <c r="D103" i="3"/>
  <c r="D52" i="3"/>
  <c r="D132" i="2"/>
  <c r="D127" i="2"/>
  <c r="D125" i="2"/>
  <c r="D123" i="2"/>
  <c r="D122" i="2"/>
  <c r="D110" i="2"/>
  <c r="D75" i="2"/>
  <c r="D58" i="2"/>
  <c r="D36" i="2"/>
  <c r="D34" i="2"/>
  <c r="D33" i="2"/>
  <c r="D32" i="2"/>
  <c r="C113" i="6" l="1"/>
  <c r="C83" i="6"/>
  <c r="H134" i="3" l="1"/>
  <c r="H29" i="4"/>
  <c r="C103" i="3"/>
  <c r="C103" i="9" s="1"/>
  <c r="C11" i="3"/>
  <c r="C11" i="9" s="1"/>
  <c r="C131" i="9"/>
  <c r="D131" i="9"/>
  <c r="C132" i="9"/>
  <c r="D132" i="9"/>
  <c r="C133" i="9"/>
  <c r="D133" i="9"/>
  <c r="C130" i="9"/>
  <c r="C128" i="9"/>
  <c r="D128" i="9"/>
  <c r="D127" i="9"/>
  <c r="C127" i="9"/>
  <c r="C126" i="9" s="1"/>
  <c r="C111" i="9"/>
  <c r="D111" i="9"/>
  <c r="C112" i="9"/>
  <c r="C113" i="9"/>
  <c r="C114" i="9"/>
  <c r="D114" i="9"/>
  <c r="C115" i="9"/>
  <c r="D115" i="9"/>
  <c r="C116" i="9"/>
  <c r="D116" i="9"/>
  <c r="C117" i="9"/>
  <c r="D117" i="9"/>
  <c r="C118" i="9"/>
  <c r="D118" i="9"/>
  <c r="C119" i="9"/>
  <c r="D119" i="9"/>
  <c r="C120" i="9"/>
  <c r="D120" i="9"/>
  <c r="C121" i="9"/>
  <c r="D121" i="9"/>
  <c r="C122" i="9"/>
  <c r="D122" i="9"/>
  <c r="C123" i="9"/>
  <c r="C124" i="9"/>
  <c r="D124" i="9"/>
  <c r="C125" i="9"/>
  <c r="D125" i="9"/>
  <c r="D110" i="9"/>
  <c r="D108" i="9"/>
  <c r="D107" i="9" s="1"/>
  <c r="D106" i="9"/>
  <c r="D105" i="9" s="1"/>
  <c r="F106" i="9"/>
  <c r="F105" i="9" s="1"/>
  <c r="C110" i="9"/>
  <c r="C108" i="9"/>
  <c r="C106" i="9"/>
  <c r="C105" i="9" s="1"/>
  <c r="C104" i="9"/>
  <c r="D102" i="9"/>
  <c r="C102" i="9"/>
  <c r="C100" i="9"/>
  <c r="C99" i="9" s="1"/>
  <c r="C50" i="9"/>
  <c r="D50" i="9"/>
  <c r="C51" i="9"/>
  <c r="D51" i="9"/>
  <c r="C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C71" i="9"/>
  <c r="D71" i="9"/>
  <c r="C72" i="9"/>
  <c r="D72" i="9"/>
  <c r="C73" i="9"/>
  <c r="D73" i="9"/>
  <c r="C74" i="9"/>
  <c r="D74" i="9"/>
  <c r="C75" i="9"/>
  <c r="D75" i="9"/>
  <c r="C76" i="9"/>
  <c r="D76" i="9"/>
  <c r="C77" i="9"/>
  <c r="D77" i="9"/>
  <c r="C78" i="9"/>
  <c r="C79" i="9"/>
  <c r="D79" i="9"/>
  <c r="C80" i="9"/>
  <c r="D80" i="9"/>
  <c r="C81" i="9"/>
  <c r="D81" i="9"/>
  <c r="C82" i="9"/>
  <c r="D82" i="9"/>
  <c r="C83" i="9"/>
  <c r="C84" i="9"/>
  <c r="D84" i="9"/>
  <c r="C85" i="9"/>
  <c r="D85" i="9"/>
  <c r="C86" i="9"/>
  <c r="D86" i="9"/>
  <c r="C87" i="9"/>
  <c r="D87" i="9"/>
  <c r="C88" i="9"/>
  <c r="D88" i="9"/>
  <c r="C89" i="9"/>
  <c r="D89" i="9"/>
  <c r="C90" i="9"/>
  <c r="D90" i="9"/>
  <c r="C91" i="9"/>
  <c r="D91" i="9"/>
  <c r="C92" i="9"/>
  <c r="D92" i="9"/>
  <c r="C93" i="9"/>
  <c r="D93" i="9"/>
  <c r="C94" i="9"/>
  <c r="D94" i="9"/>
  <c r="C95" i="9"/>
  <c r="D95" i="9"/>
  <c r="C96" i="9"/>
  <c r="D96" i="9"/>
  <c r="C97" i="9"/>
  <c r="D97" i="9"/>
  <c r="C98" i="9"/>
  <c r="D98" i="9"/>
  <c r="C49" i="9"/>
  <c r="C33" i="9"/>
  <c r="D33" i="9"/>
  <c r="C34" i="9"/>
  <c r="C35" i="9"/>
  <c r="D35" i="9"/>
  <c r="C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32" i="9"/>
  <c r="C12" i="9"/>
  <c r="D12" i="9"/>
  <c r="C13" i="9"/>
  <c r="D13" i="9"/>
  <c r="C14" i="9"/>
  <c r="D14" i="9"/>
  <c r="C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C24" i="9"/>
  <c r="D24" i="9"/>
  <c r="C25" i="9"/>
  <c r="D25" i="9"/>
  <c r="D10" i="9"/>
  <c r="C10" i="9"/>
  <c r="F129" i="9"/>
  <c r="F126" i="9"/>
  <c r="F109" i="9"/>
  <c r="F107" i="9"/>
  <c r="C107" i="9"/>
  <c r="F101" i="9"/>
  <c r="F99" i="9"/>
  <c r="F48" i="9"/>
  <c r="F31" i="9"/>
  <c r="F9" i="9"/>
  <c r="D11" i="9"/>
  <c r="D83" i="9"/>
  <c r="D112" i="9"/>
  <c r="D49" i="9"/>
  <c r="D36" i="9"/>
  <c r="D34" i="9"/>
  <c r="D32" i="9"/>
  <c r="D23" i="9"/>
  <c r="D15" i="9"/>
  <c r="D130" i="9"/>
  <c r="D123" i="9"/>
  <c r="D78" i="9"/>
  <c r="D126" i="9" l="1"/>
  <c r="D129" i="9"/>
  <c r="F29" i="9"/>
  <c r="F134" i="9" s="1"/>
  <c r="D9" i="9"/>
  <c r="D31" i="9"/>
  <c r="C129" i="9"/>
  <c r="C101" i="9"/>
  <c r="C31" i="9"/>
  <c r="C9" i="9"/>
  <c r="C109" i="9"/>
  <c r="C48" i="9"/>
  <c r="D113" i="9"/>
  <c r="D109" i="9" s="1"/>
  <c r="D104" i="9"/>
  <c r="D103" i="9"/>
  <c r="D100" i="9"/>
  <c r="D99" i="9" s="1"/>
  <c r="D52" i="9"/>
  <c r="D48" i="9" s="1"/>
  <c r="D101" i="9" l="1"/>
  <c r="D29" i="9" s="1"/>
  <c r="D134" i="9" s="1"/>
  <c r="C29" i="9"/>
  <c r="C134" i="9" s="1"/>
  <c r="C112" i="2" l="1"/>
  <c r="C104" i="2"/>
  <c r="C55" i="2"/>
  <c r="C53" i="2"/>
  <c r="C39" i="2"/>
  <c r="C23" i="1" l="1"/>
  <c r="D48" i="4" l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104" i="1"/>
  <c r="C103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8" i="1"/>
  <c r="C131" i="1"/>
  <c r="C132" i="1"/>
  <c r="C133" i="1"/>
  <c r="C130" i="1"/>
  <c r="C127" i="1"/>
  <c r="C110" i="1"/>
  <c r="C108" i="1"/>
  <c r="C107" i="1" s="1"/>
  <c r="C106" i="1"/>
  <c r="C105" i="1" s="1"/>
  <c r="C102" i="1"/>
  <c r="C100" i="1"/>
  <c r="C99" i="1" s="1"/>
  <c r="C49" i="1"/>
  <c r="C32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10" i="1"/>
  <c r="C129" i="7"/>
  <c r="C126" i="7"/>
  <c r="C109" i="7"/>
  <c r="C107" i="7"/>
  <c r="C105" i="7"/>
  <c r="C101" i="7"/>
  <c r="C99" i="7"/>
  <c r="C48" i="7"/>
  <c r="C31" i="7"/>
  <c r="C9" i="7"/>
  <c r="C129" i="6"/>
  <c r="C126" i="6"/>
  <c r="C109" i="6"/>
  <c r="C107" i="6"/>
  <c r="C105" i="6"/>
  <c r="C101" i="6"/>
  <c r="C99" i="6"/>
  <c r="C48" i="6"/>
  <c r="C31" i="6"/>
  <c r="C9" i="6"/>
  <c r="C129" i="4"/>
  <c r="C126" i="4"/>
  <c r="C109" i="4"/>
  <c r="C107" i="4"/>
  <c r="C105" i="4"/>
  <c r="C101" i="4"/>
  <c r="C99" i="4"/>
  <c r="C48" i="4"/>
  <c r="C31" i="4"/>
  <c r="C9" i="4"/>
  <c r="C129" i="3"/>
  <c r="C126" i="3"/>
  <c r="C109" i="3"/>
  <c r="C107" i="3"/>
  <c r="C105" i="3"/>
  <c r="C101" i="3"/>
  <c r="C99" i="3"/>
  <c r="C48" i="3"/>
  <c r="C31" i="3"/>
  <c r="C9" i="3"/>
  <c r="C129" i="2"/>
  <c r="C126" i="2"/>
  <c r="C109" i="2"/>
  <c r="C107" i="2"/>
  <c r="C105" i="2"/>
  <c r="C101" i="2"/>
  <c r="C99" i="2"/>
  <c r="C48" i="2"/>
  <c r="C31" i="2"/>
  <c r="C9" i="2"/>
  <c r="C29" i="2" l="1"/>
  <c r="C134" i="2" s="1"/>
  <c r="C29" i="6"/>
  <c r="C134" i="6" s="1"/>
  <c r="C126" i="1"/>
  <c r="C29" i="4"/>
  <c r="C134" i="4" s="1"/>
  <c r="C29" i="3"/>
  <c r="C134" i="3" s="1"/>
  <c r="C29" i="7"/>
  <c r="C134" i="7" s="1"/>
  <c r="C48" i="1"/>
  <c r="C109" i="1"/>
  <c r="C9" i="1"/>
  <c r="C31" i="1"/>
  <c r="C101" i="1"/>
  <c r="C129" i="1"/>
  <c r="C29" i="1" l="1"/>
  <c r="C134" i="1" s="1"/>
  <c r="F108" i="1" l="1"/>
  <c r="F107" i="1" s="1"/>
  <c r="D108" i="1"/>
  <c r="D107" i="1" s="1"/>
  <c r="E107" i="5"/>
  <c r="D107" i="5"/>
  <c r="C107" i="5"/>
  <c r="D107" i="8"/>
  <c r="E107" i="8"/>
  <c r="C107" i="8"/>
  <c r="C109" i="8"/>
  <c r="D109" i="8"/>
  <c r="E109" i="8"/>
  <c r="F107" i="7"/>
  <c r="E107" i="7"/>
  <c r="D107" i="7"/>
  <c r="F107" i="6"/>
  <c r="D107" i="6"/>
  <c r="D109" i="6"/>
  <c r="F109" i="6"/>
  <c r="F107" i="4"/>
  <c r="D107" i="4"/>
  <c r="F107" i="3"/>
  <c r="D107" i="3"/>
  <c r="F107" i="2"/>
  <c r="D107" i="2"/>
  <c r="D110" i="1"/>
  <c r="F110" i="1"/>
  <c r="D128" i="1" l="1"/>
  <c r="D126" i="7" l="1"/>
  <c r="D48" i="6"/>
  <c r="F106" i="1" l="1"/>
  <c r="E129" i="8"/>
  <c r="E126" i="8"/>
  <c r="E105" i="8"/>
  <c r="E101" i="8"/>
  <c r="E99" i="8"/>
  <c r="E48" i="8"/>
  <c r="E31" i="8"/>
  <c r="E9" i="8"/>
  <c r="D9" i="8"/>
  <c r="D31" i="8"/>
  <c r="D48" i="8"/>
  <c r="D99" i="8"/>
  <c r="D101" i="8"/>
  <c r="D105" i="8"/>
  <c r="D126" i="8"/>
  <c r="D129" i="8"/>
  <c r="F129" i="7"/>
  <c r="F126" i="7"/>
  <c r="F109" i="7"/>
  <c r="F105" i="7"/>
  <c r="F101" i="7"/>
  <c r="F99" i="7"/>
  <c r="F48" i="7"/>
  <c r="F31" i="7"/>
  <c r="F9" i="7"/>
  <c r="E9" i="7"/>
  <c r="E31" i="7"/>
  <c r="E48" i="7"/>
  <c r="E99" i="7"/>
  <c r="E101" i="7"/>
  <c r="E105" i="7"/>
  <c r="E109" i="7"/>
  <c r="E126" i="7"/>
  <c r="E129" i="7"/>
  <c r="F129" i="6"/>
  <c r="F126" i="6"/>
  <c r="F105" i="6"/>
  <c r="F101" i="6"/>
  <c r="F99" i="6"/>
  <c r="F48" i="6"/>
  <c r="F31" i="6"/>
  <c r="F9" i="6"/>
  <c r="E129" i="5"/>
  <c r="E126" i="5"/>
  <c r="E109" i="5"/>
  <c r="E105" i="5"/>
  <c r="E101" i="5"/>
  <c r="E99" i="5"/>
  <c r="E48" i="5"/>
  <c r="E31" i="5"/>
  <c r="E9" i="5"/>
  <c r="F129" i="4"/>
  <c r="F126" i="4"/>
  <c r="F109" i="4"/>
  <c r="F105" i="4"/>
  <c r="F101" i="4"/>
  <c r="F99" i="4"/>
  <c r="F48" i="4"/>
  <c r="F31" i="4"/>
  <c r="F9" i="4"/>
  <c r="F129" i="3"/>
  <c r="F126" i="3"/>
  <c r="F109" i="3"/>
  <c r="F105" i="3"/>
  <c r="F101" i="3"/>
  <c r="F99" i="3"/>
  <c r="F48" i="3"/>
  <c r="F31" i="3"/>
  <c r="F9" i="3"/>
  <c r="F129" i="2"/>
  <c r="F126" i="2"/>
  <c r="F109" i="2"/>
  <c r="F105" i="2"/>
  <c r="F101" i="2"/>
  <c r="F99" i="2"/>
  <c r="F48" i="2"/>
  <c r="F31" i="2"/>
  <c r="F9" i="2"/>
  <c r="E29" i="8" l="1"/>
  <c r="E29" i="7"/>
  <c r="E134" i="7" s="1"/>
  <c r="F29" i="2"/>
  <c r="F134" i="2" s="1"/>
  <c r="D29" i="8"/>
  <c r="F29" i="3"/>
  <c r="F134" i="3" s="1"/>
  <c r="E29" i="5"/>
  <c r="F29" i="6"/>
  <c r="F134" i="6" s="1"/>
  <c r="F29" i="7"/>
  <c r="F134" i="7" s="1"/>
  <c r="F29" i="4"/>
  <c r="F134" i="4" s="1"/>
  <c r="E134" i="8"/>
  <c r="E134" i="5"/>
  <c r="D134" i="8" l="1"/>
  <c r="D131" i="1"/>
  <c r="D132" i="1"/>
  <c r="D133" i="1"/>
  <c r="D130" i="1"/>
  <c r="D127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03" i="1"/>
  <c r="D104" i="1"/>
  <c r="D102" i="1"/>
  <c r="D100" i="1"/>
  <c r="D99" i="1" s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49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3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C129" i="8"/>
  <c r="C126" i="8"/>
  <c r="C105" i="8"/>
  <c r="C101" i="8"/>
  <c r="C99" i="8"/>
  <c r="C48" i="8"/>
  <c r="C31" i="8"/>
  <c r="C9" i="8"/>
  <c r="D129" i="7"/>
  <c r="D109" i="7"/>
  <c r="D105" i="7"/>
  <c r="D101" i="7"/>
  <c r="D99" i="7"/>
  <c r="D48" i="7"/>
  <c r="D31" i="7"/>
  <c r="D9" i="7"/>
  <c r="D129" i="6"/>
  <c r="D126" i="6"/>
  <c r="D105" i="6"/>
  <c r="D101" i="6"/>
  <c r="D99" i="6"/>
  <c r="D31" i="6"/>
  <c r="D9" i="6"/>
  <c r="D129" i="5"/>
  <c r="C129" i="5"/>
  <c r="D126" i="5"/>
  <c r="C126" i="5"/>
  <c r="D109" i="5"/>
  <c r="C109" i="5"/>
  <c r="C105" i="5"/>
  <c r="D105" i="5"/>
  <c r="D101" i="5"/>
  <c r="C101" i="5"/>
  <c r="D99" i="5"/>
  <c r="C99" i="5"/>
  <c r="D48" i="5"/>
  <c r="C48" i="5"/>
  <c r="D31" i="5"/>
  <c r="C31" i="5"/>
  <c r="D9" i="5"/>
  <c r="C9" i="5"/>
  <c r="D129" i="4"/>
  <c r="D126" i="4"/>
  <c r="D109" i="4"/>
  <c r="D105" i="4"/>
  <c r="D101" i="4"/>
  <c r="D99" i="4"/>
  <c r="D31" i="4"/>
  <c r="D9" i="4"/>
  <c r="D129" i="3"/>
  <c r="D126" i="3"/>
  <c r="D109" i="3"/>
  <c r="D105" i="3"/>
  <c r="D101" i="3"/>
  <c r="D99" i="3"/>
  <c r="D48" i="3"/>
  <c r="D31" i="3"/>
  <c r="D9" i="3"/>
  <c r="D129" i="2"/>
  <c r="D126" i="2"/>
  <c r="D109" i="2"/>
  <c r="D105" i="2"/>
  <c r="D101" i="2"/>
  <c r="D99" i="2"/>
  <c r="D48" i="2"/>
  <c r="D31" i="2"/>
  <c r="D9" i="2"/>
  <c r="D29" i="5" l="1"/>
  <c r="D29" i="4"/>
  <c r="D134" i="4" s="1"/>
  <c r="D29" i="2"/>
  <c r="D134" i="2" s="1"/>
  <c r="D29" i="6"/>
  <c r="D134" i="6" s="1"/>
  <c r="D29" i="3"/>
  <c r="D134" i="3" s="1"/>
  <c r="C29" i="5"/>
  <c r="D29" i="7"/>
  <c r="C29" i="8"/>
  <c r="C134" i="8" s="1"/>
  <c r="D109" i="1"/>
  <c r="D48" i="1"/>
  <c r="D31" i="1"/>
  <c r="D129" i="1"/>
  <c r="D126" i="1"/>
  <c r="D106" i="1"/>
  <c r="C134" i="5"/>
  <c r="D101" i="1"/>
  <c r="D9" i="1"/>
  <c r="D134" i="7" l="1"/>
  <c r="D134" i="5"/>
  <c r="D105" i="1"/>
  <c r="D29" i="1" s="1"/>
  <c r="F133" i="1"/>
  <c r="F131" i="1"/>
  <c r="F125" i="1"/>
  <c r="F123" i="1"/>
  <c r="F121" i="1"/>
  <c r="F119" i="1"/>
  <c r="F117" i="1"/>
  <c r="F115" i="1"/>
  <c r="F113" i="1"/>
  <c r="F111" i="1"/>
  <c r="F103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7" i="1"/>
  <c r="F45" i="1"/>
  <c r="F43" i="1"/>
  <c r="F41" i="1"/>
  <c r="F39" i="1"/>
  <c r="F37" i="1"/>
  <c r="F35" i="1"/>
  <c r="F33" i="1"/>
  <c r="F25" i="1"/>
  <c r="F23" i="1"/>
  <c r="F21" i="1"/>
  <c r="F19" i="1"/>
  <c r="F17" i="1"/>
  <c r="F15" i="1"/>
  <c r="F13" i="1"/>
  <c r="F11" i="1"/>
  <c r="F132" i="1"/>
  <c r="F128" i="1"/>
  <c r="F124" i="1"/>
  <c r="F122" i="1"/>
  <c r="F120" i="1"/>
  <c r="F118" i="1"/>
  <c r="F116" i="1"/>
  <c r="F114" i="1"/>
  <c r="F112" i="1"/>
  <c r="F104" i="1"/>
  <c r="F98" i="1"/>
  <c r="F96" i="1"/>
  <c r="F94" i="1"/>
  <c r="F92" i="1"/>
  <c r="F90" i="1"/>
  <c r="F88" i="1"/>
  <c r="F86" i="1"/>
  <c r="F84" i="1"/>
  <c r="F82" i="1"/>
  <c r="F78" i="1"/>
  <c r="F74" i="1"/>
  <c r="F70" i="1"/>
  <c r="F66" i="1"/>
  <c r="F62" i="1"/>
  <c r="F58" i="1"/>
  <c r="F54" i="1"/>
  <c r="F50" i="1"/>
  <c r="F46" i="1"/>
  <c r="F42" i="1"/>
  <c r="F38" i="1"/>
  <c r="F100" i="1"/>
  <c r="F99" i="1" s="1"/>
  <c r="F34" i="1"/>
  <c r="F18" i="1"/>
  <c r="F80" i="1"/>
  <c r="F76" i="1"/>
  <c r="F72" i="1"/>
  <c r="F68" i="1"/>
  <c r="F64" i="1"/>
  <c r="F60" i="1"/>
  <c r="F56" i="1"/>
  <c r="F52" i="1"/>
  <c r="F44" i="1"/>
  <c r="F40" i="1"/>
  <c r="F36" i="1"/>
  <c r="F24" i="1"/>
  <c r="F20" i="1"/>
  <c r="F16" i="1"/>
  <c r="F12" i="1"/>
  <c r="F22" i="1"/>
  <c r="F14" i="1"/>
  <c r="F49" i="1"/>
  <c r="F10" i="1"/>
  <c r="F102" i="1"/>
  <c r="F105" i="1"/>
  <c r="F127" i="1"/>
  <c r="F130" i="1"/>
  <c r="F32" i="1"/>
  <c r="D134" i="1" l="1"/>
  <c r="F109" i="1"/>
  <c r="F129" i="1"/>
  <c r="F9" i="1"/>
  <c r="F31" i="1"/>
  <c r="F126" i="1"/>
  <c r="F101" i="1"/>
  <c r="F48" i="1"/>
  <c r="F29" i="1" l="1"/>
  <c r="F134" i="1" s="1"/>
</calcChain>
</file>

<file path=xl/sharedStrings.xml><?xml version="1.0" encoding="utf-8"?>
<sst xmlns="http://schemas.openxmlformats.org/spreadsheetml/2006/main" count="1487" uniqueCount="208">
  <si>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</si>
  <si>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</si>
  <si>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</si>
  <si>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</si>
  <si>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</si>
  <si>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</si>
  <si>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</si>
  <si>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</si>
  <si>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</si>
  <si>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</si>
  <si>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</si>
  <si>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</si>
  <si>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</si>
  <si>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</si>
  <si>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</si>
  <si>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</si>
  <si>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</si>
  <si>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</si>
  <si>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</si>
  <si>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</si>
  <si>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</si>
  <si>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</si>
  <si>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</si>
  <si>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</si>
  <si>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</si>
  <si>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</si>
  <si>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</si>
  <si>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</si>
  <si>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</si>
  <si>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</si>
  <si>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</si>
  <si>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</si>
  <si>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</si>
  <si>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</si>
  <si>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</si>
  <si>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</si>
  <si>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</si>
  <si>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</si>
  <si>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</si>
  <si>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</si>
  <si>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</si>
  <si>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</si>
  <si>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</si>
  <si>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</si>
  <si>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</si>
  <si>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</si>
  <si>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</si>
  <si>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</si>
  <si>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</si>
  <si>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</si>
  <si>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</si>
  <si>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</si>
  <si>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</si>
  <si>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</si>
  <si>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</si>
  <si>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</si>
  <si>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</si>
  <si>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</si>
  <si>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</si>
  <si>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</si>
  <si>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</si>
  <si>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</si>
  <si>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</si>
  <si>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Usluga zaštite na radu</t>
  </si>
  <si>
    <t>Usluge zaštitara na čuvanju imovine i osoba</t>
  </si>
  <si>
    <t>Servisne usluge (IT, popravci opreme)</t>
  </si>
  <si>
    <t xml:space="preserve">Trošak reg. teretnih vozila </t>
  </si>
  <si>
    <t>Ostali troškovi registracije prometala</t>
  </si>
  <si>
    <t xml:space="preserve">Usluge operativnog leasinga 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</si>
  <si>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</si>
  <si>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</si>
  <si>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</si>
  <si>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</si>
  <si>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</si>
  <si>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</si>
  <si>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</si>
  <si>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</si>
  <si>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</si>
  <si>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</si>
  <si>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</si>
  <si>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</si>
  <si>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</si>
  <si>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</si>
  <si>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</si>
  <si>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</si>
  <si>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</si>
  <si>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</si>
  <si>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</si>
  <si>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</si>
  <si>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</si>
  <si>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</si>
  <si>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</si>
  <si>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</si>
  <si>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</si>
  <si>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</si>
  <si>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</si>
  <si>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</si>
  <si>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</si>
  <si>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</si>
  <si>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</si>
  <si>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</si>
  <si>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</si>
  <si>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</si>
  <si>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</si>
  <si>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</si>
  <si>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</si>
  <si>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</si>
  <si>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</si>
  <si>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</si>
  <si>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</si>
  <si>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</si>
  <si>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</si>
  <si>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</si>
  <si>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</si>
  <si>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</si>
  <si>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</si>
  <si>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</si>
  <si>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</si>
  <si>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</si>
  <si>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</si>
  <si>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</si>
  <si>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</si>
  <si>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</si>
  <si>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</si>
  <si>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</si>
  <si>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</si>
  <si>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</si>
  <si>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Poslovni rezultat</t>
  </si>
  <si>
    <t>POSLOVNI REZULTAT</t>
  </si>
  <si>
    <t>POSLONI REZULTAT</t>
  </si>
  <si>
    <t>Trošak HRT pretplate</t>
  </si>
  <si>
    <t>Održavanje igrališta i fitnes sprava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</si>
  <si>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</si>
  <si>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</si>
  <si>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</si>
  <si>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</si>
  <si>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</si>
  <si>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</si>
  <si>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</si>
  <si>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</si>
  <si>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POSLOVANJA 31.12.2019.G.</t>
  </si>
  <si>
    <t xml:space="preserve">FINANCIJSKI PLAN I REALIZACIJA POSLOVANJA ZA 2019. GODINU  </t>
  </si>
  <si>
    <t>PROMIDŽBA  2019.G.</t>
  </si>
  <si>
    <t>PROMIDŽBA PLANIRANO     31.10.2019.G.</t>
  </si>
  <si>
    <t>PROMIDŽBA REALIZIRANO      31.10.2019.G.</t>
  </si>
  <si>
    <t>ZA PREFAKTURIRATI  2019.G.</t>
  </si>
  <si>
    <t>ZA PREFAKTURIRATI PLANIRANO       31.10.2019.G.</t>
  </si>
  <si>
    <t>ZA PREFAKTURIRATI  REALIZIRANO      31.10.2019.G.</t>
  </si>
  <si>
    <t>Troškovi dugoročnog rezerviranja 450</t>
  </si>
  <si>
    <t>IGRALIŠTA I REBALANS PLANA      31.12.2020.</t>
  </si>
  <si>
    <t>GROBLJA -  I REBALANS PLANA      31.12.2020.</t>
  </si>
  <si>
    <t>IGRALIŠTA -  I REBALANS PLANA      31.12.2020.</t>
  </si>
  <si>
    <t>SMEĆE    -  I REBALANS PLANA      31.12.2020.</t>
  </si>
  <si>
    <t>KOMUNALNI ODJEL    -  I REBALANS PLANA      31.12.2020.</t>
  </si>
  <si>
    <t>OPĆI ODJEL    -  I REBALANS PLANA      31.12.2020.</t>
  </si>
  <si>
    <t>SVI ODJELI    -  I REBALANS PLANA      31.12.2020.</t>
  </si>
  <si>
    <t xml:space="preserve">FINANCIJSKI PLAN ZA 2022. GODINU I REALIZACIJA POSLOVANJA ZA 2021. GODINU  </t>
  </si>
  <si>
    <t>IGRALIŠTA 2022.G.</t>
  </si>
  <si>
    <t>IGRALIŠTA  PLAN     31.12.2021.</t>
  </si>
  <si>
    <t>IGRALIŠTA REALIZACIJA 31.10.2021.</t>
  </si>
  <si>
    <t>IGRALIŠTA PLAN    31.12.2022.</t>
  </si>
  <si>
    <t>SVI ODJELI PLAN 2022.</t>
  </si>
  <si>
    <t>OPĆI POSLOVI PLAN 2022.</t>
  </si>
  <si>
    <t>KOMUNALNI ODJEL         PLAN 2022.</t>
  </si>
  <si>
    <t>ODVOZ OTPADA         PLAN 2022.</t>
  </si>
  <si>
    <t>HORTIKULTURA, GROBLJA, IGRALIŠTA         PLAN 2022.</t>
  </si>
  <si>
    <t>Investicijsko održavanje plaža</t>
  </si>
  <si>
    <t>Održavanje građevina, uređaja i predmeta javne namjene</t>
  </si>
  <si>
    <t>Tekuće održavanje HGI</t>
  </si>
  <si>
    <t>KOMUNALNI KOMPLETNO         PLAN 2022.</t>
  </si>
  <si>
    <t>SVI ODJELI REALIZACIJA 31.12.2022.</t>
  </si>
  <si>
    <t>OPĆI POSLOVI REALIZACIJA 31.12.2022.</t>
  </si>
  <si>
    <t>KOMUNALNI ODJEL REALIZACIJA 31.12.2022.</t>
  </si>
  <si>
    <t>ODVOZ OTPADA        REALIZACIJA 31.12.2022.</t>
  </si>
  <si>
    <t>HORTIKULTURA, GROBLJA, IGRALIŠTA         REALIZACIJA 31.12.2022.</t>
  </si>
  <si>
    <t>KOMUNALNI KOMPLETNO         REALIZACIJA 31.12.2022.</t>
  </si>
  <si>
    <t>Usluge Cloud nadzora vozila i otpadomjera</t>
  </si>
  <si>
    <t>Regres, božićnica, darovanja, prehrana, nagrade, pomoći i sl.</t>
  </si>
  <si>
    <t>Troškovi nadzornog odbora</t>
  </si>
  <si>
    <t>Kamate iz financijskog leasinga i kredita</t>
  </si>
  <si>
    <t>Akumulatori</t>
  </si>
  <si>
    <t>Čišćenje plaža, sanitarnih čvorova i čišćenje i održavanje tuševa</t>
  </si>
  <si>
    <t>Čišćenje javnih površina</t>
  </si>
  <si>
    <t>Prigodno ukrašavanje općine</t>
  </si>
  <si>
    <t>Odvoz otpada sa i uz košarice</t>
  </si>
  <si>
    <t>Održavanje autobusnih stajališta, čekaonica i drugo</t>
  </si>
  <si>
    <t>Održavanje dječjih igrališta i urbane opreme</t>
  </si>
  <si>
    <t>Dodatne usluge za održavanje AP Vižula</t>
  </si>
  <si>
    <t>Trošak naknade za provedbu ovrhe FINA</t>
  </si>
  <si>
    <t>15.</t>
  </si>
  <si>
    <t>16.</t>
  </si>
  <si>
    <t>Prihodi od upravljanja i održavanja sportskih terena</t>
  </si>
  <si>
    <t>Prihodi od prikupljanja MKO obračun po volumenu</t>
  </si>
  <si>
    <t>Prihodi od prikupljanja MKO obračun po masi</t>
  </si>
  <si>
    <t>Prihodi od ostalih vrsta otpada</t>
  </si>
  <si>
    <t>Prihodi od ovrha</t>
  </si>
  <si>
    <t>Prihodi od prodaje dugotrajne imovine</t>
  </si>
  <si>
    <t>Prihodi od naplaćenih vrijednosnih usklađenja</t>
  </si>
  <si>
    <t>Materijal za čišćenje i održavanje čistoće</t>
  </si>
  <si>
    <t>INDEKS  REALIZACIJA/ PLAN</t>
  </si>
  <si>
    <t xml:space="preserve">FINANCIJSKI PLAN ZA 2022. GODINU </t>
  </si>
  <si>
    <t>OPĆI POSLOVI 2022.G.</t>
  </si>
  <si>
    <t>SVI ODJELI  2022.G.</t>
  </si>
  <si>
    <t>FINANCIJSKI PLAN ZA 2022. GODINU</t>
  </si>
  <si>
    <t>KOMUNALNI ODJEL  2022.G.</t>
  </si>
  <si>
    <t>ODVOZ OTPADA 2022.G.</t>
  </si>
  <si>
    <t>HORTIKULTURA,GROBLJA I ODRŽAVANJE IGRALIŠTA  2022.G.</t>
  </si>
  <si>
    <t>KOMUNALNI KOMPLETNO  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</si>
</sst>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n&quot;;\-#,##0.00\ &quot;kn&quot;"/>
    <numFmt numFmtId="164" formatCode="_-* #,##0.00\ _k_n_-;\-* #,##0.00\ _k_n_-;_-* &quot;-&quot;??\ _k_n_-;_-@_-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0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i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i/>
      <sz val="12"/>
      <color rgb="FFFF0000"/>
      <name val="Arial"/>
      <family val="2"/>
    </font>
    <font>
      <i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</font>
    <font>
      <i/>
      <sz val="12"/>
      <color rgb="FFFF0000"/>
      <name val="Times New Roman"/>
      <family val="1"/>
      <charset val="238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name val="Times New Roman"/>
      <family val="1"/>
    </font>
    <font>
      <sz val="11"/>
      <name val="Calibri"/>
      <family val="2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70C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2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9" fillId="6" borderId="4" xfId="1" applyFont="1" applyFill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8" fillId="6" borderId="3" xfId="1" applyFont="1" applyFill="1" applyBorder="1" applyAlignment="1">
      <alignment horizontal="center" vertical="center" wrapText="1"/>
    </xf>
    <xf numFmtId="164" fontId="2" fillId="0" borderId="0" xfId="1" applyFont="1" applyAlignment="1">
      <alignment horizontal="right" vertical="center"/>
    </xf>
    <xf numFmtId="164" fontId="9" fillId="7" borderId="3" xfId="1" applyFont="1" applyFill="1" applyBorder="1" applyAlignment="1">
      <alignment horizontal="center" vertical="center" wrapText="1"/>
    </xf>
    <xf numFmtId="164" fontId="9" fillId="7" borderId="4" xfId="1" applyFont="1" applyFill="1" applyBorder="1" applyAlignment="1">
      <alignment horizontal="left" vertical="center" wrapText="1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8" fillId="7" borderId="3" xfId="1" applyFont="1" applyFill="1" applyBorder="1" applyAlignment="1">
      <alignment horizontal="center" vertical="center" wrapText="1"/>
    </xf>
    <xf numFmtId="164" fontId="23" fillId="0" borderId="0" xfId="1" applyFont="1" applyAlignment="1">
      <alignment vertical="center"/>
    </xf>
    <xf numFmtId="164" fontId="16" fillId="7" borderId="5" xfId="1" applyFont="1" applyFill="1" applyBorder="1" applyAlignment="1">
      <alignment horizontal="lef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24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24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164" fontId="14" fillId="0" borderId="0" xfId="1" applyFont="1" applyFill="1" applyBorder="1" applyAlignment="1">
      <alignment horizontal="right" vertical="center" wrapText="1"/>
    </xf>
    <xf numFmtId="49" fontId="16" fillId="7" borderId="5" xfId="1" applyNumberFormat="1" applyFont="1" applyFill="1" applyBorder="1" applyAlignment="1">
      <alignment horizontal="center" vertical="center"/>
    </xf>
    <xf numFmtId="164" fontId="27" fillId="0" borderId="0" xfId="1" applyFont="1" applyAlignment="1">
      <alignment horizontal="right" vertical="center"/>
    </xf>
    <xf numFmtId="164" fontId="28" fillId="3" borderId="0" xfId="1" applyFont="1" applyFill="1" applyAlignment="1">
      <alignment horizontal="right" vertical="center"/>
    </xf>
    <xf numFmtId="164" fontId="28" fillId="0" borderId="0" xfId="1" applyFont="1" applyFill="1" applyAlignment="1">
      <alignment horizontal="right" vertical="center"/>
    </xf>
    <xf numFmtId="164" fontId="29" fillId="0" borderId="0" xfId="1" applyFont="1" applyAlignment="1">
      <alignment horizontal="right" vertical="center"/>
    </xf>
    <xf numFmtId="164" fontId="30" fillId="0" borderId="0" xfId="1" applyFont="1" applyAlignment="1">
      <alignment horizontal="right" vertical="center"/>
    </xf>
    <xf numFmtId="164" fontId="31" fillId="4" borderId="4" xfId="1" applyFont="1" applyFill="1" applyBorder="1" applyAlignment="1">
      <alignment horizontal="right" vertical="center" wrapText="1"/>
    </xf>
    <xf numFmtId="164" fontId="31" fillId="5" borderId="4" xfId="1" applyFont="1" applyFill="1" applyBorder="1" applyAlignment="1">
      <alignment horizontal="right" vertical="center" wrapText="1"/>
    </xf>
    <xf numFmtId="164" fontId="32" fillId="4" borderId="4" xfId="1" applyFont="1" applyFill="1" applyBorder="1" applyAlignment="1">
      <alignment horizontal="right" vertical="center" wrapText="1"/>
    </xf>
    <xf numFmtId="164" fontId="32" fillId="6" borderId="4" xfId="1" applyFont="1" applyFill="1" applyBorder="1" applyAlignment="1">
      <alignment horizontal="right" vertical="center" wrapText="1"/>
    </xf>
    <xf numFmtId="164" fontId="33" fillId="6" borderId="5" xfId="1" applyFont="1" applyFill="1" applyBorder="1" applyAlignment="1">
      <alignment horizontal="right" vertical="center"/>
    </xf>
    <xf numFmtId="164" fontId="25" fillId="0" borderId="0" xfId="1" applyFont="1" applyAlignment="1">
      <alignment horizontal="right" vertical="center"/>
    </xf>
    <xf numFmtId="164" fontId="34" fillId="0" borderId="0" xfId="1" applyFont="1" applyAlignment="1">
      <alignment horizontal="right" vertical="center"/>
    </xf>
    <xf numFmtId="164" fontId="31" fillId="0" borderId="4" xfId="1" applyFont="1" applyFill="1" applyBorder="1" applyAlignment="1">
      <alignment horizontal="right" vertical="center" wrapText="1"/>
    </xf>
    <xf numFmtId="164" fontId="6" fillId="3" borderId="0" xfId="1" applyFont="1" applyFill="1" applyAlignment="1">
      <alignment horizontal="right" vertical="center"/>
    </xf>
    <xf numFmtId="164" fontId="36" fillId="3" borderId="0" xfId="1" applyFont="1" applyFill="1" applyAlignment="1">
      <alignment horizontal="right" vertical="center"/>
    </xf>
    <xf numFmtId="164" fontId="37" fillId="0" borderId="0" xfId="1" applyFont="1" applyAlignment="1">
      <alignment horizontal="right" vertical="center"/>
    </xf>
    <xf numFmtId="164" fontId="33" fillId="7" borderId="5" xfId="1" applyFont="1" applyFill="1" applyBorder="1" applyAlignment="1">
      <alignment horizontal="right" vertical="center"/>
    </xf>
    <xf numFmtId="164" fontId="38" fillId="3" borderId="0" xfId="1" applyFont="1" applyFill="1" applyAlignment="1">
      <alignment horizontal="right" vertical="center"/>
    </xf>
    <xf numFmtId="164" fontId="31" fillId="7" borderId="4" xfId="1" applyFont="1" applyFill="1" applyBorder="1" applyAlignment="1">
      <alignment horizontal="right" vertical="center" wrapText="1"/>
    </xf>
    <xf numFmtId="164" fontId="14" fillId="0" borderId="5" xfId="1" applyFont="1" applyFill="1" applyBorder="1" applyAlignment="1">
      <alignment horizontal="right" vertical="center" wrapText="1"/>
    </xf>
    <xf numFmtId="164" fontId="31" fillId="7" borderId="5" xfId="1" applyFont="1" applyFill="1" applyBorder="1" applyAlignment="1">
      <alignment horizontal="right" vertical="center" wrapText="1"/>
    </xf>
    <xf numFmtId="164" fontId="39" fillId="0" borderId="4" xfId="1" applyFont="1" applyFill="1" applyBorder="1" applyAlignment="1">
      <alignment horizontal="right" vertical="center" wrapText="1"/>
    </xf>
    <xf numFmtId="164" fontId="40" fillId="3" borderId="0" xfId="1" applyFont="1" applyFill="1" applyAlignment="1">
      <alignment horizontal="right" vertical="center"/>
    </xf>
    <xf numFmtId="164" fontId="41" fillId="0" borderId="0" xfId="1" applyFont="1" applyAlignment="1">
      <alignment vertical="center"/>
    </xf>
    <xf numFmtId="164" fontId="31" fillId="6" borderId="4" xfId="1" applyFont="1" applyFill="1" applyBorder="1" applyAlignment="1">
      <alignment horizontal="right" vertical="center" wrapText="1"/>
    </xf>
    <xf numFmtId="164" fontId="25" fillId="0" borderId="0" xfId="1" applyFont="1" applyAlignment="1">
      <alignment vertical="center"/>
    </xf>
    <xf numFmtId="7" fontId="9" fillId="7" borderId="4" xfId="1" applyNumberFormat="1" applyFont="1" applyFill="1" applyBorder="1" applyAlignment="1">
      <alignment horizontal="right" vertical="center" wrapText="1"/>
    </xf>
    <xf numFmtId="7" fontId="10" fillId="0" borderId="4" xfId="1" applyNumberFormat="1" applyFont="1" applyFill="1" applyBorder="1" applyAlignment="1">
      <alignment horizontal="right" vertical="center" wrapText="1"/>
    </xf>
    <xf numFmtId="7" fontId="10" fillId="0" borderId="5" xfId="1" applyNumberFormat="1" applyFont="1" applyFill="1" applyBorder="1" applyAlignment="1">
      <alignment horizontal="right" vertical="center" wrapText="1"/>
    </xf>
    <xf numFmtId="7" fontId="9" fillId="7" borderId="5" xfId="1" applyNumberFormat="1" applyFont="1" applyFill="1" applyBorder="1" applyAlignment="1">
      <alignment horizontal="right" vertical="center" wrapText="1"/>
    </xf>
    <xf numFmtId="7" fontId="11" fillId="4" borderId="4" xfId="1" applyNumberFormat="1" applyFont="1" applyFill="1" applyBorder="1" applyAlignment="1">
      <alignment horizontal="right" vertical="center" wrapText="1"/>
    </xf>
    <xf numFmtId="7" fontId="11" fillId="6" borderId="4" xfId="1" applyNumberFormat="1" applyFont="1" applyFill="1" applyBorder="1" applyAlignment="1">
      <alignment horizontal="right" vertical="center" wrapText="1"/>
    </xf>
    <xf numFmtId="7" fontId="35" fillId="6" borderId="5" xfId="1" applyNumberFormat="1" applyFont="1" applyFill="1" applyBorder="1" applyAlignment="1">
      <alignment horizontal="right" vertical="center"/>
    </xf>
    <xf numFmtId="7" fontId="9" fillId="4" borderId="4" xfId="1" applyNumberFormat="1" applyFont="1" applyFill="1" applyBorder="1" applyAlignment="1">
      <alignment horizontal="right" vertical="center" wrapText="1"/>
    </xf>
    <xf numFmtId="7" fontId="9" fillId="5" borderId="4" xfId="1" applyNumberFormat="1" applyFont="1" applyFill="1" applyBorder="1" applyAlignment="1">
      <alignment horizontal="right" vertical="center" wrapText="1"/>
    </xf>
    <xf numFmtId="7" fontId="15" fillId="6" borderId="5" xfId="1" applyNumberFormat="1" applyFont="1" applyFill="1" applyBorder="1" applyAlignment="1">
      <alignment horizontal="right" vertical="center"/>
    </xf>
    <xf numFmtId="7" fontId="35" fillId="7" borderId="5" xfId="1" applyNumberFormat="1" applyFont="1" applyFill="1" applyBorder="1" applyAlignment="1">
      <alignment horizontal="right" vertical="center"/>
    </xf>
    <xf numFmtId="7" fontId="15" fillId="7" borderId="5" xfId="1" applyNumberFormat="1" applyFont="1" applyFill="1" applyBorder="1" applyAlignment="1">
      <alignment horizontal="right" vertical="center"/>
    </xf>
    <xf numFmtId="164" fontId="43" fillId="0" borderId="0" xfId="1" applyFont="1" applyFill="1" applyBorder="1" applyAlignment="1">
      <alignment horizontal="center" vertical="center" wrapText="1"/>
    </xf>
    <xf numFmtId="164" fontId="43" fillId="0" borderId="0" xfId="1" applyFont="1" applyFill="1" applyBorder="1" applyAlignment="1">
      <alignment horizontal="left" vertical="center" wrapText="1"/>
    </xf>
    <xf numFmtId="164" fontId="43" fillId="0" borderId="0" xfId="1" applyFont="1" applyFill="1" applyBorder="1" applyAlignment="1">
      <alignment horizontal="right" vertical="center" wrapText="1"/>
    </xf>
    <xf numFmtId="7" fontId="9" fillId="0" borderId="4" xfId="1" applyNumberFormat="1" applyFont="1" applyFill="1" applyBorder="1" applyAlignment="1">
      <alignment horizontal="right" vertical="center" wrapText="1"/>
    </xf>
    <xf numFmtId="7" fontId="9" fillId="6" borderId="4" xfId="1" applyNumberFormat="1" applyFont="1" applyFill="1" applyBorder="1" applyAlignment="1">
      <alignment horizontal="right" vertical="center" wrapText="1"/>
    </xf>
    <xf numFmtId="164" fontId="44" fillId="0" borderId="0" xfId="1" applyFont="1" applyAlignment="1">
      <alignment horizontal="right" vertical="center"/>
    </xf>
    <xf numFmtId="164" fontId="45" fillId="2" borderId="0" xfId="1" applyFont="1" applyFill="1" applyAlignment="1">
      <alignment horizontal="right" vertical="center"/>
    </xf>
    <xf numFmtId="164" fontId="46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 wrapText="1"/>
    </xf>
    <xf numFmtId="164" fontId="47" fillId="0" borderId="0" xfId="1" applyFont="1" applyAlignment="1">
      <alignment horizontal="right" vertical="center"/>
    </xf>
    <xf numFmtId="164" fontId="48" fillId="0" borderId="0" xfId="1" applyFont="1" applyAlignment="1">
      <alignment horizontal="right" vertical="center"/>
    </xf>
    <xf numFmtId="164" fontId="49" fillId="0" borderId="0" xfId="1" applyFont="1" applyAlignment="1">
      <alignment horizontal="right" vertical="center"/>
    </xf>
    <xf numFmtId="164" fontId="50" fillId="0" borderId="0" xfId="1" applyFont="1" applyAlignment="1">
      <alignment vertical="center"/>
    </xf>
    <xf numFmtId="164" fontId="46" fillId="0" borderId="0" xfId="1" applyFont="1" applyAlignment="1">
      <alignment vertical="center"/>
    </xf>
    <xf numFmtId="164" fontId="47" fillId="0" borderId="0" xfId="1" applyFont="1" applyAlignment="1">
      <alignment vertical="center"/>
    </xf>
    <xf numFmtId="164" fontId="51" fillId="0" borderId="0" xfId="1" applyFont="1" applyAlignment="1">
      <alignment vertical="center"/>
    </xf>
    <xf numFmtId="164" fontId="50" fillId="0" borderId="0" xfId="1" applyFont="1" applyBorder="1" applyAlignment="1">
      <alignment vertical="center"/>
    </xf>
    <xf numFmtId="164" fontId="48" fillId="0" borderId="0" xfId="1" applyFont="1" applyAlignment="1">
      <alignment vertical="center"/>
    </xf>
    <xf numFmtId="164" fontId="49" fillId="0" borderId="0" xfId="1" applyFont="1" applyAlignment="1">
      <alignment vertical="center"/>
    </xf>
    <xf numFmtId="164" fontId="46" fillId="0" borderId="0" xfId="1" applyFont="1" applyAlignment="1">
      <alignment horizontal="left" vertical="center"/>
    </xf>
    <xf numFmtId="164" fontId="50" fillId="0" borderId="0" xfId="1" applyFont="1" applyAlignment="1">
      <alignment horizontal="left" vertical="center"/>
    </xf>
    <xf numFmtId="164" fontId="48" fillId="0" borderId="0" xfId="1" applyFont="1" applyAlignment="1">
      <alignment horizontal="left" vertical="center"/>
    </xf>
    <xf numFmtId="164" fontId="49" fillId="0" borderId="0" xfId="1" applyFont="1" applyAlignment="1">
      <alignment horizontal="left" vertical="center"/>
    </xf>
    <xf numFmtId="164" fontId="51" fillId="0" borderId="0" xfId="1" applyFont="1" applyAlignment="1">
      <alignment horizontal="left" vertical="center"/>
    </xf>
    <xf numFmtId="164" fontId="51" fillId="2" borderId="0" xfId="1" applyFont="1" applyFill="1" applyAlignment="1">
      <alignment horizontal="left" vertical="center"/>
    </xf>
    <xf numFmtId="164" fontId="1" fillId="0" borderId="0" xfId="1" applyFont="1" applyAlignment="1">
      <alignment vertical="center" wrapText="1"/>
    </xf>
    <xf numFmtId="164" fontId="0" fillId="0" borderId="0" xfId="1" applyFont="1" applyAlignment="1">
      <alignment vertical="center" wrapText="1"/>
    </xf>
    <xf numFmtId="164" fontId="24" fillId="0" borderId="0" xfId="1" applyFont="1" applyAlignment="1">
      <alignment vertical="center" wrapText="1"/>
    </xf>
    <xf numFmtId="164" fontId="1" fillId="0" borderId="0" xfId="1" applyFont="1" applyAlignment="1">
      <alignment horizontal="left" vertical="center" wrapText="1"/>
    </xf>
    <xf numFmtId="164" fontId="53" fillId="0" borderId="0" xfId="1" applyFont="1" applyAlignment="1">
      <alignment vertical="center"/>
    </xf>
    <xf numFmtId="164" fontId="53" fillId="0" borderId="0" xfId="1" applyFont="1" applyAlignment="1">
      <alignment vertical="center" wrapText="1"/>
    </xf>
    <xf numFmtId="164" fontId="54" fillId="0" borderId="0" xfId="1" applyFont="1" applyAlignment="1">
      <alignment vertical="center"/>
    </xf>
    <xf numFmtId="164" fontId="1" fillId="0" borderId="0" xfId="1" applyFont="1" applyAlignment="1">
      <alignment horizontal="center" vertical="center" wrapText="1"/>
    </xf>
    <xf numFmtId="164" fontId="25" fillId="0" borderId="0" xfId="1" applyFont="1" applyAlignment="1">
      <alignment horizontal="left" vertical="center" wrapText="1"/>
    </xf>
    <xf numFmtId="164" fontId="53" fillId="0" borderId="0" xfId="1" applyFont="1" applyAlignment="1">
      <alignment horizontal="center" vertical="center" wrapText="1"/>
    </xf>
    <xf numFmtId="164" fontId="6" fillId="0" borderId="0" xfId="1" applyFont="1" applyFill="1" applyAlignment="1">
      <alignment horizontal="left" vertical="center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center" wrapText="1"/>
    </xf>
    <xf numFmtId="164" fontId="8" fillId="0" borderId="2" xfId="1" applyFont="1" applyBorder="1" applyAlignment="1">
      <alignment horizontal="left" vertical="center" wrapText="1"/>
    </xf>
    <xf numFmtId="164" fontId="8" fillId="0" borderId="3" xfId="1" applyFont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26" fillId="0" borderId="1" xfId="1" applyFont="1" applyBorder="1" applyAlignment="1">
      <alignment horizontal="right" vertical="center" wrapText="1"/>
    </xf>
    <xf numFmtId="164" fontId="26" fillId="0" borderId="2" xfId="1" applyFont="1" applyBorder="1" applyAlignment="1">
      <alignment horizontal="right" vertical="center" wrapText="1"/>
    </xf>
    <xf numFmtId="164" fontId="26" fillId="0" borderId="3" xfId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1" fillId="0" borderId="0" xfId="1" applyFont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164" fontId="8" fillId="2" borderId="3" xfId="1" applyFont="1" applyFill="1" applyBorder="1" applyAlignment="1">
      <alignment horizontal="left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left" vertical="center" wrapText="1"/>
    </xf>
    <xf numFmtId="164" fontId="42" fillId="0" borderId="1" xfId="1" applyFont="1" applyBorder="1" applyAlignment="1">
      <alignment horizontal="right" vertical="center" wrapText="1"/>
    </xf>
    <xf numFmtId="164" fontId="42" fillId="0" borderId="2" xfId="1" applyFont="1" applyBorder="1" applyAlignment="1">
      <alignment horizontal="right" vertical="center" wrapText="1"/>
    </xf>
    <xf numFmtId="164" fontId="42" fillId="0" borderId="3" xfId="1" applyFont="1" applyBorder="1" applyAlignment="1">
      <alignment horizontal="right" vertical="center" wrapText="1"/>
    </xf>
    <xf numFmtId="164" fontId="9" fillId="6" borderId="5" xfId="1" applyFont="1" applyFill="1" applyBorder="1" applyAlignment="1">
      <alignment horizontal="center" vertical="center"/>
    </xf>
    <xf numFmtId="164" fontId="9" fillId="6" borderId="5" xfId="1" applyFont="1" applyFill="1" applyBorder="1" applyAlignment="1">
      <alignment horizontal="left" vertical="center"/>
    </xf>
    <xf numFmtId="164" fontId="24" fillId="0" borderId="0" xfId="1" applyFont="1" applyAlignment="1">
      <alignment horizontal="center" vertical="center"/>
    </xf>
    <xf numFmtId="10" fontId="20" fillId="0" borderId="0" xfId="1" applyNumberFormat="1" applyFont="1" applyAlignment="1">
      <alignment horizontal="right" vertical="center"/>
    </xf>
    <xf numFmtId="10" fontId="6" fillId="3" borderId="0" xfId="1" applyNumberFormat="1" applyFont="1" applyFill="1" applyAlignment="1">
      <alignment horizontal="right" vertical="center"/>
    </xf>
    <xf numFmtId="10" fontId="6" fillId="0" borderId="0" xfId="1" applyNumberFormat="1" applyFont="1" applyFill="1" applyAlignment="1">
      <alignment horizontal="right" vertical="center"/>
    </xf>
    <xf numFmtId="10" fontId="4" fillId="0" borderId="0" xfId="1" applyNumberFormat="1" applyFont="1" applyAlignment="1">
      <alignment horizontal="right" vertical="center"/>
    </xf>
    <xf numFmtId="10" fontId="8" fillId="0" borderId="1" xfId="1" applyNumberFormat="1" applyFont="1" applyBorder="1" applyAlignment="1">
      <alignment horizontal="right" vertical="center" wrapText="1"/>
    </xf>
    <xf numFmtId="10" fontId="8" fillId="0" borderId="2" xfId="1" applyNumberFormat="1" applyFont="1" applyBorder="1" applyAlignment="1">
      <alignment horizontal="right" vertical="center" wrapText="1"/>
    </xf>
    <xf numFmtId="10" fontId="8" fillId="0" borderId="3" xfId="1" applyNumberFormat="1" applyFont="1" applyBorder="1" applyAlignment="1">
      <alignment horizontal="right" vertical="center" wrapText="1"/>
    </xf>
    <xf numFmtId="10" fontId="9" fillId="7" borderId="4" xfId="1" applyNumberFormat="1" applyFont="1" applyFill="1" applyBorder="1" applyAlignment="1">
      <alignment horizontal="right" vertical="center" wrapText="1"/>
    </xf>
    <xf numFmtId="10" fontId="10" fillId="0" borderId="4" xfId="1" applyNumberFormat="1" applyFont="1" applyFill="1" applyBorder="1" applyAlignment="1">
      <alignment horizontal="right" vertical="center" wrapText="1"/>
    </xf>
    <xf numFmtId="10" fontId="9" fillId="7" borderId="5" xfId="1" applyNumberFormat="1" applyFont="1" applyFill="1" applyBorder="1" applyAlignment="1">
      <alignment horizontal="right" vertical="center" wrapText="1"/>
    </xf>
    <xf numFmtId="10" fontId="17" fillId="0" borderId="4" xfId="1" applyNumberFormat="1" applyFont="1" applyFill="1" applyBorder="1" applyAlignment="1">
      <alignment horizontal="right" vertical="center" wrapText="1"/>
    </xf>
    <xf numFmtId="10" fontId="11" fillId="4" borderId="4" xfId="1" applyNumberFormat="1" applyFont="1" applyFill="1" applyBorder="1" applyAlignment="1">
      <alignment horizontal="right" vertical="center" wrapText="1"/>
    </xf>
    <xf numFmtId="10" fontId="24" fillId="0" borderId="0" xfId="1" applyNumberFormat="1" applyFont="1" applyAlignment="1">
      <alignment horizontal="right" vertical="center"/>
    </xf>
    <xf numFmtId="164" fontId="1" fillId="0" borderId="0" xfId="1" applyFont="1" applyFill="1" applyAlignment="1">
      <alignment horizontal="right" vertical="center"/>
    </xf>
    <xf numFmtId="10" fontId="9" fillId="0" borderId="4" xfId="1" applyNumberFormat="1" applyFont="1" applyFill="1" applyBorder="1" applyAlignment="1">
      <alignment horizontal="right" vertical="center" wrapText="1"/>
    </xf>
    <xf numFmtId="10" fontId="11" fillId="0" borderId="4" xfId="1" applyNumberFormat="1" applyFont="1" applyFill="1" applyBorder="1" applyAlignment="1">
      <alignment horizontal="right" vertical="center" wrapText="1"/>
    </xf>
    <xf numFmtId="10" fontId="9" fillId="4" borderId="4" xfId="1" applyNumberFormat="1" applyFont="1" applyFill="1" applyBorder="1" applyAlignment="1">
      <alignment horizontal="right" vertical="center" wrapText="1"/>
    </xf>
    <xf numFmtId="10" fontId="9" fillId="5" borderId="4" xfId="1" applyNumberFormat="1" applyFont="1" applyFill="1" applyBorder="1" applyAlignment="1">
      <alignment horizontal="right" vertical="center" wrapText="1"/>
    </xf>
    <xf numFmtId="10" fontId="9" fillId="6" borderId="4" xfId="1" applyNumberFormat="1" applyFont="1" applyFill="1" applyBorder="1" applyAlignment="1">
      <alignment horizontal="righ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tabSelected="1" workbookViewId="0">
      <selection activeCell="H131" sqref="H131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9.7109375" style="27" customWidth="1"/>
    <col min="5" max="5" width="19.42578125" style="27" customWidth="1"/>
    <col min="6" max="6" width="17.5703125" style="96" hidden="1" customWidth="1"/>
    <col min="7" max="7" width="17.5703125" style="6" bestFit="1" customWidth="1"/>
    <col min="8" max="8" width="16.85546875" style="6" bestFit="1" customWidth="1"/>
    <col min="9" max="9" width="9.140625" style="6"/>
    <col min="10" max="10" width="16.85546875" style="6" bestFit="1" customWidth="1"/>
    <col min="11" max="16384" width="9.140625" style="6"/>
  </cols>
  <sheetData>
    <row r="1" spans="1:8" s="47" customFormat="1" x14ac:dyDescent="0.25">
      <c r="A1" s="10"/>
      <c r="B1" s="13"/>
      <c r="C1" s="23"/>
      <c r="D1" s="23"/>
      <c r="E1" s="23"/>
      <c r="F1" s="97"/>
    </row>
    <row r="2" spans="1:8" s="47" customFormat="1" ht="15.75" x14ac:dyDescent="0.25">
      <c r="A2" s="11"/>
      <c r="B2" s="14" t="s">
        <v>0</v>
      </c>
      <c r="C2" s="24"/>
      <c r="D2" s="24"/>
      <c r="E2" s="24"/>
      <c r="F2" s="108"/>
    </row>
    <row r="3" spans="1:8" s="47" customFormat="1" ht="15.75" x14ac:dyDescent="0.25">
      <c r="A3" s="1" t="s">
        <v>1</v>
      </c>
      <c r="B3" s="81" t="s">
        <v>200</v>
      </c>
      <c r="C3" s="25"/>
      <c r="D3" s="25"/>
      <c r="E3" s="25"/>
      <c r="F3" s="88"/>
    </row>
    <row r="4" spans="1:8" s="47" customFormat="1" ht="15.75" x14ac:dyDescent="0.25">
      <c r="A4" s="1"/>
      <c r="B4" s="159" t="s">
        <v>202</v>
      </c>
      <c r="C4" s="159"/>
      <c r="D4" s="159"/>
      <c r="E4" s="159"/>
      <c r="F4" s="109"/>
    </row>
    <row r="5" spans="1:8" s="47" customFormat="1" ht="15.75" x14ac:dyDescent="0.25">
      <c r="A5" s="1"/>
      <c r="B5" s="13"/>
      <c r="C5" s="23"/>
      <c r="D5" s="23"/>
      <c r="E5" s="23"/>
      <c r="F5" s="97"/>
    </row>
    <row r="6" spans="1:8" s="47" customFormat="1" ht="15" customHeight="1" x14ac:dyDescent="0.25">
      <c r="A6" s="160" t="s">
        <v>1</v>
      </c>
      <c r="B6" s="163" t="s">
        <v>2</v>
      </c>
      <c r="C6" s="166" t="s">
        <v>161</v>
      </c>
      <c r="D6" s="166" t="s">
        <v>170</v>
      </c>
      <c r="E6" s="197" t="s">
        <v>199</v>
      </c>
      <c r="F6" s="169" t="s">
        <v>155</v>
      </c>
    </row>
    <row r="7" spans="1:8" s="47" customFormat="1" ht="15" customHeight="1" x14ac:dyDescent="0.25">
      <c r="A7" s="161"/>
      <c r="B7" s="164"/>
      <c r="C7" s="167"/>
      <c r="D7" s="167"/>
      <c r="E7" s="198"/>
      <c r="F7" s="170"/>
    </row>
    <row r="8" spans="1:8" s="47" customFormat="1" ht="41.25" customHeight="1" x14ac:dyDescent="0.25">
      <c r="A8" s="162"/>
      <c r="B8" s="165"/>
      <c r="C8" s="168"/>
      <c r="D8" s="168"/>
      <c r="E8" s="199"/>
      <c r="F8" s="171"/>
      <c r="G8" s="58"/>
    </row>
    <row r="9" spans="1:8" s="47" customFormat="1" ht="30" customHeight="1" x14ac:dyDescent="0.25">
      <c r="A9" s="2" t="s">
        <v>3</v>
      </c>
      <c r="B9" s="15" t="s">
        <v>4</v>
      </c>
      <c r="C9" s="119">
        <f>C10+C11+C12+C13+C14+C15+C16+C17+C18+C19+C20+C21+C22+C23+C24+C25</f>
        <v>20724142</v>
      </c>
      <c r="D9" s="119">
        <f>D10+D11+D12+D13+D14+D15+D16+D17+D18+D19+D20+D21+D22+D23+D24+D25</f>
        <v>20632426.940000005</v>
      </c>
      <c r="E9" s="209">
        <f>D9/C9</f>
        <v>0.99557448216674083</v>
      </c>
      <c r="F9" s="91">
        <f>F10+F11+F12+F13+F14+F15+F16+F17+F18+F19+F20+F21+F22+F23+F24+F25</f>
        <v>14161230</v>
      </c>
    </row>
    <row r="10" spans="1:8" ht="30" customHeight="1" x14ac:dyDescent="0.25">
      <c r="A10" s="35" t="s">
        <v>5</v>
      </c>
      <c r="B10" s="16" t="s">
        <v>6</v>
      </c>
      <c r="C10" s="113">
        <f>'01 -OPĆI'!C10+'02- KOMUNALNI'!C10+'03-SMEĆE'!C10+'04-H.G.I.'!C10+'05-IGRALIŠTA'!C10</f>
        <v>241107</v>
      </c>
      <c r="D10" s="113">
        <f>'01 -OPĆI'!D10+'02- KOMUNALNI'!D10+'03-SMEĆE'!D10+'04-PROMIDŽBA'!C10+'04-H.G.I.'!D10+'05-IGRALIŠTA'!D10+'08-PREFAKTURIRATI ALBANEŽ'!C10</f>
        <v>239166.07999999999</v>
      </c>
      <c r="E10" s="207">
        <f t="shared" ref="E10:E25" si="0">D10/C10</f>
        <v>0.9919499641238122</v>
      </c>
      <c r="F10" s="82">
        <f>'01 -OPĆI'!F10+'02- KOMUNALNI'!F10+'03-SMEĆE'!F10+'04-PROMIDŽBA'!E10+'04-H.G.I.'!F10+'05-IGRALIŠTA'!F10+'08-PREFAKTURIRATI ALBANEŽ'!E10</f>
        <v>520500</v>
      </c>
    </row>
    <row r="11" spans="1:8" ht="30" customHeight="1" x14ac:dyDescent="0.25">
      <c r="A11" s="35" t="s">
        <v>7</v>
      </c>
      <c r="B11" s="8" t="s">
        <v>8</v>
      </c>
      <c r="C11" s="113">
        <f>'01 -OPĆI'!C11+'02- KOMUNALNI'!C11+'03-SMEĆE'!C11+'04-H.G.I.'!C11+'05-IGRALIŠTA'!C11</f>
        <v>6634129</v>
      </c>
      <c r="D11" s="113">
        <f>'01 -OPĆI'!D11+'02- KOMUNALNI'!D11+'03-SMEĆE'!D11+'04-PROMIDŽBA'!C11+'04-H.G.I.'!D11+'05-IGRALIŠTA'!D11+'08-PREFAKTURIRATI ALBANEŽ'!C11</f>
        <v>6720655.7600000007</v>
      </c>
      <c r="E11" s="207">
        <f t="shared" si="0"/>
        <v>1.0130426707108049</v>
      </c>
      <c r="F11" s="82">
        <f>'01 -OPĆI'!F11+'02- KOMUNALNI'!F11+'03-SMEĆE'!F11+'04-PROMIDŽBA'!E11+'04-H.G.I.'!F11+'05-IGRALIŠTA'!F11+'08-PREFAKTURIRATI ALBANEŽ'!E11</f>
        <v>4190550</v>
      </c>
      <c r="H11" s="136"/>
    </row>
    <row r="12" spans="1:8" ht="30" customHeight="1" x14ac:dyDescent="0.25">
      <c r="A12" s="35" t="s">
        <v>9</v>
      </c>
      <c r="B12" s="8" t="s">
        <v>10</v>
      </c>
      <c r="C12" s="113">
        <f>'01 -OPĆI'!C12+'02- KOMUNALNI'!C12+'03-SMEĆE'!C12+'04-H.G.I.'!C12+'05-IGRALIŠTA'!C12</f>
        <v>23000</v>
      </c>
      <c r="D12" s="113">
        <f>'01 -OPĆI'!D12+'02- KOMUNALNI'!D12+'03-SMEĆE'!D12+'04-PROMIDŽBA'!C12+'04-H.G.I.'!D12+'05-IGRALIŠTA'!D12+'08-PREFAKTURIRATI ALBANEŽ'!C12</f>
        <v>21900</v>
      </c>
      <c r="E12" s="207">
        <f t="shared" si="0"/>
        <v>0.95217391304347831</v>
      </c>
      <c r="F12" s="82">
        <f>'01 -OPĆI'!F12+'02- KOMUNALNI'!F12+'03-SMEĆE'!F12+'04-PROMIDŽBA'!E12+'04-H.G.I.'!F12+'05-IGRALIŠTA'!F12+'08-PREFAKTURIRATI ALBANEŽ'!E12</f>
        <v>21000</v>
      </c>
    </row>
    <row r="13" spans="1:8" ht="30" customHeight="1" x14ac:dyDescent="0.25">
      <c r="A13" s="35" t="s">
        <v>11</v>
      </c>
      <c r="B13" s="8" t="s">
        <v>192</v>
      </c>
      <c r="C13" s="113">
        <f>'01 -OPĆI'!C13+'02- KOMUNALNI'!C13+'03-SMEĆE'!C13+'04-H.G.I.'!C13+'05-IGRALIŠTA'!C13</f>
        <v>12409411</v>
      </c>
      <c r="D13" s="113">
        <f>'01 -OPĆI'!D13+'02- KOMUNALNI'!D13+'03-SMEĆE'!D13+'04-PROMIDŽBA'!C13+'04-H.G.I.'!D13+'05-IGRALIŠTA'!D13+'08-PREFAKTURIRATI ALBANEŽ'!C13</f>
        <v>8469328.5999999996</v>
      </c>
      <c r="E13" s="207">
        <f t="shared" si="0"/>
        <v>0.68249239226583758</v>
      </c>
      <c r="F13" s="82">
        <f>'01 -OPĆI'!F13+'02- KOMUNALNI'!F13+'03-SMEĆE'!F13+'04-PROMIDŽBA'!E13+'04-H.G.I.'!F13+'05-IGRALIŠTA'!F13+'08-PREFAKTURIRATI ALBANEŽ'!E13</f>
        <v>6400000</v>
      </c>
    </row>
    <row r="14" spans="1:8" ht="30" customHeight="1" x14ac:dyDescent="0.25">
      <c r="A14" s="35" t="s">
        <v>15</v>
      </c>
      <c r="B14" s="8" t="s">
        <v>193</v>
      </c>
      <c r="C14" s="113">
        <f>'01 -OPĆI'!C14+'02- KOMUNALNI'!C14+'03-SMEĆE'!C14+'04-H.G.I.'!C14+'05-IGRALIŠTA'!C14</f>
        <v>0</v>
      </c>
      <c r="D14" s="113">
        <f>'01 -OPĆI'!D14+'02- KOMUNALNI'!D14+'03-SMEĆE'!D14+'04-PROMIDŽBA'!C14+'04-H.G.I.'!D14+'05-IGRALIŠTA'!D14+'08-PREFAKTURIRATI ALBANEŽ'!C14</f>
        <v>3025288.34</v>
      </c>
      <c r="E14" s="207" t="e">
        <f t="shared" si="0"/>
        <v>#DIV/0!</v>
      </c>
      <c r="F14" s="82">
        <f>'01 -OPĆI'!F14+'02- KOMUNALNI'!F14+'03-SMEĆE'!F14+'04-PROMIDŽBA'!E14+'04-H.G.I.'!F14+'05-IGRALIŠTA'!F14+'08-PREFAKTURIRATI ALBANEŽ'!E14</f>
        <v>1719200</v>
      </c>
    </row>
    <row r="15" spans="1:8" ht="30" customHeight="1" x14ac:dyDescent="0.25">
      <c r="A15" s="35" t="s">
        <v>19</v>
      </c>
      <c r="B15" s="8" t="s">
        <v>194</v>
      </c>
      <c r="C15" s="113">
        <f>'01 -OPĆI'!C15+'02- KOMUNALNI'!C15+'03-SMEĆE'!C15+'04-H.G.I.'!C15+'05-IGRALIŠTA'!C15</f>
        <v>0</v>
      </c>
      <c r="D15" s="113">
        <f>'01 -OPĆI'!D15+'02- KOMUNALNI'!D15+'03-SMEĆE'!D15+'04-PROMIDŽBA'!C15+'04-H.G.I.'!D15+'05-IGRALIŠTA'!D15+'08-PREFAKTURIRATI ALBANEŽ'!C15</f>
        <v>564027.77</v>
      </c>
      <c r="E15" s="207" t="e">
        <f t="shared" si="0"/>
        <v>#DIV/0!</v>
      </c>
      <c r="F15" s="82">
        <f>'01 -OPĆI'!F15+'02- KOMUNALNI'!F15+'03-SMEĆE'!F15+'04-PROMIDŽBA'!E15+'04-H.G.I.'!F15+'05-IGRALIŠTA'!F15+'08-PREFAKTURIRATI ALBANEŽ'!E15</f>
        <v>226500</v>
      </c>
    </row>
    <row r="16" spans="1:8" ht="30" customHeight="1" x14ac:dyDescent="0.25">
      <c r="A16" s="35" t="s">
        <v>21</v>
      </c>
      <c r="B16" s="8" t="s">
        <v>16</v>
      </c>
      <c r="C16" s="113">
        <f>'01 -OPĆI'!C16+'02- KOMUNALNI'!C16+'03-SMEĆE'!C16+'04-H.G.I.'!C16+'05-IGRALIŠTA'!C16</f>
        <v>250000</v>
      </c>
      <c r="D16" s="113">
        <f>'01 -OPĆI'!D16+'02- KOMUNALNI'!D16+'03-SMEĆE'!D16+'04-PROMIDŽBA'!C16+'04-H.G.I.'!D16+'05-IGRALIŠTA'!D16+'08-PREFAKTURIRATI ALBANEŽ'!C16</f>
        <v>260968.76</v>
      </c>
      <c r="E16" s="207">
        <f t="shared" si="0"/>
        <v>1.0438750400000001</v>
      </c>
      <c r="F16" s="82">
        <f>'01 -OPĆI'!F16+'02- KOMUNALNI'!F16+'03-SMEĆE'!F16+'04-PROMIDŽBA'!E16+'04-H.G.I.'!F16+'05-IGRALIŠTA'!F16+'08-PREFAKTURIRATI ALBANEŽ'!E16</f>
        <v>192000</v>
      </c>
    </row>
    <row r="17" spans="1:7" ht="30" customHeight="1" x14ac:dyDescent="0.25">
      <c r="A17" s="35" t="s">
        <v>23</v>
      </c>
      <c r="B17" s="8" t="s">
        <v>191</v>
      </c>
      <c r="C17" s="113">
        <f>'01 -OPĆI'!C17+'02- KOMUNALNI'!C17+'03-SMEĆE'!C17+'04-H.G.I.'!C17+'05-IGRALIŠTA'!C17</f>
        <v>0</v>
      </c>
      <c r="D17" s="113">
        <f>'01 -OPĆI'!D17+'02- KOMUNALNI'!D17+'03-SMEĆE'!D17+'04-PROMIDŽBA'!C17+'04-H.G.I.'!D17+'05-IGRALIŠTA'!D17+'08-PREFAKTURIRATI ALBANEŽ'!C17</f>
        <v>0</v>
      </c>
      <c r="E17" s="207"/>
      <c r="F17" s="82">
        <f>'01 -OPĆI'!F17+'02- KOMUNALNI'!F17+'03-SMEĆE'!F17+'04-PROMIDŽBA'!E17+'04-H.G.I.'!F17+'05-IGRALIŠTA'!F17+'08-PREFAKTURIRATI ALBANEŽ'!E17</f>
        <v>0</v>
      </c>
    </row>
    <row r="18" spans="1:7" ht="30" customHeight="1" x14ac:dyDescent="0.25">
      <c r="A18" s="35" t="s">
        <v>25</v>
      </c>
      <c r="B18" s="8" t="s">
        <v>195</v>
      </c>
      <c r="C18" s="113">
        <f>'01 -OPĆI'!C18+'02- KOMUNALNI'!C18+'03-SMEĆE'!C18+'04-H.G.I.'!C18+'05-IGRALIŠTA'!C18</f>
        <v>0</v>
      </c>
      <c r="D18" s="113">
        <f>'01 -OPĆI'!D18+'02- KOMUNALNI'!D18+'03-SMEĆE'!D18+'04-PROMIDŽBA'!C18+'04-H.G.I.'!D18+'05-IGRALIŠTA'!D18+'08-PREFAKTURIRATI ALBANEŽ'!C18</f>
        <v>34030.050000000003</v>
      </c>
      <c r="E18" s="207" t="e">
        <f t="shared" si="0"/>
        <v>#DIV/0!</v>
      </c>
      <c r="F18" s="82">
        <f>'01 -OPĆI'!F18+'02- KOMUNALNI'!F18+'03-SMEĆE'!F18+'04-PROMIDŽBA'!E18+'04-H.G.I.'!F18+'05-IGRALIŠTA'!F18+'08-PREFAKTURIRATI ALBANEŽ'!E18</f>
        <v>0</v>
      </c>
    </row>
    <row r="19" spans="1:7" ht="30" customHeight="1" x14ac:dyDescent="0.25">
      <c r="A19" s="35" t="s">
        <v>27</v>
      </c>
      <c r="B19" s="8"/>
      <c r="C19" s="113">
        <f>'01 -OPĆI'!C19+'02- KOMUNALNI'!C19+'03-SMEĆE'!C19+'04-H.G.I.'!C19+'05-IGRALIŠTA'!C19</f>
        <v>0</v>
      </c>
      <c r="D19" s="113">
        <f>'01 -OPĆI'!D19+'02- KOMUNALNI'!D19+'03-SMEĆE'!D19+'04-PROMIDŽBA'!C19+'04-H.G.I.'!D19+'05-IGRALIŠTA'!D19+'08-PREFAKTURIRATI ALBANEŽ'!C19</f>
        <v>0</v>
      </c>
      <c r="E19" s="207"/>
      <c r="F19" s="82">
        <f>'01 -OPĆI'!F19+'02- KOMUNALNI'!F19+'03-SMEĆE'!F19+'04-PROMIDŽBA'!E19+'04-H.G.I.'!F19+'05-IGRALIŠTA'!F19+'08-PREFAKTURIRATI ALBANEŽ'!E19</f>
        <v>0</v>
      </c>
    </row>
    <row r="20" spans="1:7" ht="30" customHeight="1" x14ac:dyDescent="0.25">
      <c r="A20" s="35" t="s">
        <v>29</v>
      </c>
      <c r="B20" s="8" t="s">
        <v>30</v>
      </c>
      <c r="C20" s="113">
        <f>'01 -OPĆI'!C20+'02- KOMUNALNI'!C20+'03-SMEĆE'!C20+'04-H.G.I.'!C20+'05-IGRALIŠTA'!C20</f>
        <v>472</v>
      </c>
      <c r="D20" s="113">
        <f>'01 -OPĆI'!D20+'02- KOMUNALNI'!D20+'03-SMEĆE'!D20+'04-PROMIDŽBA'!C20+'04-H.G.I.'!D20+'05-IGRALIŠTA'!D20+'08-PREFAKTURIRATI ALBANEŽ'!C20</f>
        <v>4043.3199999999997</v>
      </c>
      <c r="E20" s="207">
        <f t="shared" si="0"/>
        <v>8.5663559322033898</v>
      </c>
      <c r="F20" s="82">
        <f>'01 -OPĆI'!F20+'02- KOMUNALNI'!F20+'03-SMEĆE'!F20+'04-PROMIDŽBA'!E20+'04-H.G.I.'!F20+'05-IGRALIŠTA'!F20+'08-PREFAKTURIRATI ALBANEŽ'!E20</f>
        <v>0</v>
      </c>
    </row>
    <row r="21" spans="1:7" ht="30" customHeight="1" x14ac:dyDescent="0.25">
      <c r="A21" s="35" t="s">
        <v>31</v>
      </c>
      <c r="B21" s="8" t="s">
        <v>196</v>
      </c>
      <c r="C21" s="113">
        <f>'01 -OPĆI'!C21+'02- KOMUNALNI'!C21+'03-SMEĆE'!C21+'04-H.G.I.'!C21+'05-IGRALIŠTA'!C21</f>
        <v>0</v>
      </c>
      <c r="D21" s="113">
        <f>'01 -OPĆI'!D21+'02- KOMUNALNI'!D21+'03-SMEĆE'!D21+'04-PROMIDŽBA'!C21+'04-H.G.I.'!D21+'05-IGRALIŠTA'!D21+'08-PREFAKTURIRATI ALBANEŽ'!C21</f>
        <v>45563.24</v>
      </c>
      <c r="E21" s="207" t="e">
        <f t="shared" si="0"/>
        <v>#DIV/0!</v>
      </c>
      <c r="F21" s="82">
        <f>'01 -OPĆI'!F21+'02- KOMUNALNI'!F21+'03-SMEĆE'!F21+'04-PROMIDŽBA'!E21+'04-H.G.I.'!F21+'05-IGRALIŠTA'!F21+'08-PREFAKTURIRATI ALBANEŽ'!E21</f>
        <v>130000</v>
      </c>
    </row>
    <row r="22" spans="1:7" ht="30" customHeight="1" x14ac:dyDescent="0.25">
      <c r="A22" s="35" t="s">
        <v>33</v>
      </c>
      <c r="B22" s="8" t="s">
        <v>197</v>
      </c>
      <c r="C22" s="113">
        <f>'01 -OPĆI'!C22+'02- KOMUNALNI'!C22+'03-SMEĆE'!C22+'04-H.G.I.'!C22+'05-IGRALIŠTA'!C22</f>
        <v>0</v>
      </c>
      <c r="D22" s="113">
        <f>'01 -OPĆI'!D22+'02- KOMUNALNI'!D22+'03-SMEĆE'!D22+'04-PROMIDŽBA'!C22+'04-H.G.I.'!D22+'05-IGRALIŠTA'!D22+'08-PREFAKTURIRATI ALBANEŽ'!C22</f>
        <v>140981.93000000002</v>
      </c>
      <c r="E22" s="207" t="e">
        <f t="shared" si="0"/>
        <v>#DIV/0!</v>
      </c>
      <c r="F22" s="82">
        <f>'01 -OPĆI'!F22+'02- KOMUNALNI'!F22+'03-SMEĆE'!F22+'04-PROMIDŽBA'!E22+'04-H.G.I.'!F22+'05-IGRALIŠTA'!F22+'08-PREFAKTURIRATI ALBANEŽ'!E22</f>
        <v>900</v>
      </c>
    </row>
    <row r="23" spans="1:7" ht="30" customHeight="1" x14ac:dyDescent="0.25">
      <c r="A23" s="35" t="s">
        <v>35</v>
      </c>
      <c r="B23" s="8" t="s">
        <v>32</v>
      </c>
      <c r="C23" s="113">
        <f>'01 -OPĆI'!C23+'02- KOMUNALNI'!C23+'03-SMEĆE'!C23+'04-H.G.I.'!C23+'05-IGRALIŠTA'!C23</f>
        <v>211000</v>
      </c>
      <c r="D23" s="113">
        <f>'01 -OPĆI'!D23+'02- KOMUNALNI'!D23+'03-SMEĆE'!D23+'04-PROMIDŽBA'!C23+'04-H.G.I.'!D23+'05-IGRALIŠTA'!D23+'08-PREFAKTURIRATI ALBANEŽ'!C23</f>
        <v>12466.099999999999</v>
      </c>
      <c r="E23" s="207">
        <f t="shared" si="0"/>
        <v>5.9081042654028429E-2</v>
      </c>
      <c r="F23" s="82">
        <f>'01 -OPĆI'!F23+'02- KOMUNALNI'!F23+'03-SMEĆE'!F23+'04-PROMIDŽBA'!E23+'04-H.G.I.'!F23+'05-IGRALIŠTA'!F23+'08-PREFAKTURIRATI ALBANEŽ'!E23</f>
        <v>46000</v>
      </c>
    </row>
    <row r="24" spans="1:7" ht="30" customHeight="1" x14ac:dyDescent="0.25">
      <c r="A24" s="35" t="s">
        <v>189</v>
      </c>
      <c r="B24" s="8" t="s">
        <v>34</v>
      </c>
      <c r="C24" s="113">
        <f>'01 -OPĆI'!C24+'02- KOMUNALNI'!C24+'03-SMEĆE'!C24+'04-H.G.I.'!C24+'05-IGRALIŠTA'!C24</f>
        <v>93230</v>
      </c>
      <c r="D24" s="113">
        <f>'01 -OPĆI'!D24+'02- KOMUNALNI'!D24+'03-SMEĆE'!D24+'04-PROMIDŽBA'!C24+'04-H.G.I.'!D24+'05-IGRALIŠTA'!D24+'08-PREFAKTURIRATI ALBANEŽ'!C24</f>
        <v>93718.85</v>
      </c>
      <c r="E24" s="207">
        <f t="shared" si="0"/>
        <v>1.0052434838571276</v>
      </c>
      <c r="F24" s="82">
        <f>'01 -OPĆI'!F24+'02- KOMUNALNI'!F24+'03-SMEĆE'!F24+'04-PROMIDŽBA'!E24+'04-H.G.I.'!F24+'05-IGRALIŠTA'!F24+'08-PREFAKTURIRATI ALBANEŽ'!E24</f>
        <v>10200</v>
      </c>
    </row>
    <row r="25" spans="1:7" ht="30" customHeight="1" x14ac:dyDescent="0.25">
      <c r="A25" s="35" t="s">
        <v>190</v>
      </c>
      <c r="B25" s="8" t="s">
        <v>36</v>
      </c>
      <c r="C25" s="113">
        <f>'01 -OPĆI'!C25+'02- KOMUNALNI'!C25+'03-SMEĆE'!C25+'04-H.G.I.'!C25+'05-IGRALIŠTA'!C25</f>
        <v>861793</v>
      </c>
      <c r="D25" s="113">
        <f>'01 -OPĆI'!D25+'02- KOMUNALNI'!D25+'03-SMEĆE'!D25+'04-PROMIDŽBA'!C25+'04-H.G.I.'!D25+'05-IGRALIŠTA'!D25+'08-PREFAKTURIRATI ALBANEŽ'!C25</f>
        <v>1000288.1399999999</v>
      </c>
      <c r="E25" s="207">
        <f t="shared" si="0"/>
        <v>1.1607058075431105</v>
      </c>
      <c r="F25" s="82">
        <f>'01 -OPĆI'!F25+'02- KOMUNALNI'!F25+'03-SMEĆE'!F25+'04-PROMIDŽBA'!E25+'04-H.G.I.'!F25+'05-IGRALIŠTA'!F25+'08-PREFAKTURIRATI ALBANEŽ'!E25</f>
        <v>704380</v>
      </c>
    </row>
    <row r="26" spans="1:7" s="80" customFormat="1" ht="30" customHeight="1" x14ac:dyDescent="0.25">
      <c r="A26" s="172" t="s">
        <v>1</v>
      </c>
      <c r="B26" s="175" t="s">
        <v>37</v>
      </c>
      <c r="C26" s="166" t="s">
        <v>161</v>
      </c>
      <c r="D26" s="166" t="s">
        <v>170</v>
      </c>
      <c r="E26" s="197" t="s">
        <v>199</v>
      </c>
      <c r="F26" s="169" t="s">
        <v>155</v>
      </c>
    </row>
    <row r="27" spans="1:7" s="80" customFormat="1" ht="44.25" customHeight="1" x14ac:dyDescent="0.25">
      <c r="A27" s="173"/>
      <c r="B27" s="176"/>
      <c r="C27" s="167"/>
      <c r="D27" s="167"/>
      <c r="E27" s="198"/>
      <c r="F27" s="170"/>
      <c r="G27" s="58"/>
    </row>
    <row r="28" spans="1:7" s="47" customFormat="1" ht="30" hidden="1" customHeight="1" x14ac:dyDescent="0.25">
      <c r="A28" s="174"/>
      <c r="B28" s="177"/>
      <c r="C28" s="168"/>
      <c r="D28" s="168"/>
      <c r="E28" s="199"/>
      <c r="F28" s="171"/>
    </row>
    <row r="29" spans="1:7" s="47" customFormat="1" ht="30" customHeight="1" x14ac:dyDescent="0.25">
      <c r="A29" s="57" t="s">
        <v>38</v>
      </c>
      <c r="B29" s="21" t="s">
        <v>39</v>
      </c>
      <c r="C29" s="128">
        <f>C31+C48+C99+C101+C105+C109+C126+C129+C107</f>
        <v>19348613</v>
      </c>
      <c r="D29" s="128">
        <f>D31+D48+D99+D101+D105+D109+D126+D129+D107</f>
        <v>19068388.439999998</v>
      </c>
      <c r="E29" s="211">
        <f>D29/C29</f>
        <v>0.98551707246405706</v>
      </c>
      <c r="F29" s="110">
        <f t="shared" ref="E29:F29" si="1">F31+F48+F99+F101+F105+F109+F126+F129+F107</f>
        <v>15285330</v>
      </c>
    </row>
    <row r="30" spans="1:7" ht="30" customHeight="1" x14ac:dyDescent="0.25">
      <c r="A30" s="39"/>
      <c r="B30" s="40"/>
      <c r="C30" s="113"/>
      <c r="D30" s="113"/>
      <c r="E30" s="203"/>
      <c r="F30" s="82"/>
    </row>
    <row r="31" spans="1:7" s="52" customFormat="1" ht="30" customHeight="1" x14ac:dyDescent="0.25">
      <c r="A31" s="49" t="s">
        <v>5</v>
      </c>
      <c r="B31" s="50" t="s">
        <v>40</v>
      </c>
      <c r="C31" s="116">
        <f>C32+C33+C34+C35+C36+C37+C38+C39+C40+C41+C42+C43+C44+C45+C46+C47</f>
        <v>1384582</v>
      </c>
      <c r="D31" s="116">
        <f>D32+D33+D34+D35+D36+D37+D38+D39+D40+D41+D42+D43+D44+D45+D46+D47</f>
        <v>1398245.45</v>
      </c>
      <c r="E31" s="204">
        <f>D31/C31</f>
        <v>1.009868285157542</v>
      </c>
      <c r="F31" s="93">
        <f>F32+F33+F34+F35+F36+F37+F38+F39+F40+F41+F42+F43+F44+F45+F46+F47</f>
        <v>918045</v>
      </c>
    </row>
    <row r="32" spans="1:7" s="43" customFormat="1" ht="30" customHeight="1" x14ac:dyDescent="0.25">
      <c r="A32" s="42"/>
      <c r="B32" s="18" t="s">
        <v>41</v>
      </c>
      <c r="C32" s="113">
        <f>'01 -OPĆI'!C32+'02- KOMUNALNI'!C32+'03-SMEĆE'!C32+'04-H.G.I.'!C32+'05-IGRALIŠTA'!C32</f>
        <v>50412</v>
      </c>
      <c r="D32" s="113">
        <f>'01 -OPĆI'!D32+'02- KOMUNALNI'!D32+'03-SMEĆE'!D32+'04-PROMIDŽBA'!C32+'04-H.G.I.'!D32+'05-IGRALIŠTA'!D32+'08-PREFAKTURIRATI ALBANEŽ'!C32</f>
        <v>50028.25</v>
      </c>
      <c r="E32" s="208">
        <f t="shared" ref="E32:E95" si="2">D32/C32</f>
        <v>0.99238772514480678</v>
      </c>
      <c r="F32" s="82">
        <f>'01 -OPĆI'!F32+'02- KOMUNALNI'!F32+'03-SMEĆE'!F32+'04-PROMIDŽBA'!E32+'04-H.G.I.'!F32+'05-IGRALIŠTA'!F32+'08-PREFAKTURIRATI ALBANEŽ'!E32</f>
        <v>23270</v>
      </c>
    </row>
    <row r="33" spans="1:8" s="43" customFormat="1" ht="30" customHeight="1" x14ac:dyDescent="0.25">
      <c r="A33" s="42"/>
      <c r="B33" s="18" t="s">
        <v>42</v>
      </c>
      <c r="C33" s="113">
        <f>'01 -OPĆI'!C33+'02- KOMUNALNI'!C33+'03-SMEĆE'!C33+'04-H.G.I.'!C33+'05-IGRALIŠTA'!C33</f>
        <v>20920</v>
      </c>
      <c r="D33" s="113">
        <f>'01 -OPĆI'!D33+'02- KOMUNALNI'!D33+'03-SMEĆE'!D33+'04-PROMIDŽBA'!C33+'04-H.G.I.'!D33+'05-IGRALIŠTA'!D33+'08-PREFAKTURIRATI ALBANEŽ'!C33</f>
        <v>23250.09</v>
      </c>
      <c r="E33" s="208">
        <f t="shared" si="2"/>
        <v>1.1113809751434034</v>
      </c>
      <c r="F33" s="82">
        <f>'01 -OPĆI'!F33+'02- KOMUNALNI'!F33+'03-SMEĆE'!F33+'04-PROMIDŽBA'!E33+'04-H.G.I.'!F33+'05-IGRALIŠTA'!F33+'08-PREFAKTURIRATI ALBANEŽ'!E33</f>
        <v>13495</v>
      </c>
    </row>
    <row r="34" spans="1:8" ht="30" customHeight="1" x14ac:dyDescent="0.25">
      <c r="A34" s="9" t="s">
        <v>1</v>
      </c>
      <c r="B34" s="8" t="s">
        <v>198</v>
      </c>
      <c r="C34" s="113">
        <f>'01 -OPĆI'!C34+'02- KOMUNALNI'!C34+'03-SMEĆE'!C34+'04-H.G.I.'!C34+'05-IGRALIŠTA'!C34</f>
        <v>24850</v>
      </c>
      <c r="D34" s="113">
        <f>'01 -OPĆI'!D34+'02- KOMUNALNI'!D34+'03-SMEĆE'!D34+'04-PROMIDŽBA'!C34+'04-H.G.I.'!D34+'05-IGRALIŠTA'!D34+'08-PREFAKTURIRATI ALBANEŽ'!C34</f>
        <v>21212.1</v>
      </c>
      <c r="E34" s="208">
        <f t="shared" si="2"/>
        <v>0.85360563380281684</v>
      </c>
      <c r="F34" s="82">
        <f>'01 -OPĆI'!F34+'02- KOMUNALNI'!F34+'03-SMEĆE'!F34+'04-PROMIDŽBA'!E34+'04-H.G.I.'!F34+'05-IGRALIŠTA'!F34+'08-PREFAKTURIRATI ALBANEŽ'!E34</f>
        <v>31100</v>
      </c>
      <c r="H34" s="153"/>
    </row>
    <row r="35" spans="1:8" ht="30" customHeight="1" x14ac:dyDescent="0.25">
      <c r="A35" s="9"/>
      <c r="B35" s="8" t="s">
        <v>44</v>
      </c>
      <c r="C35" s="113">
        <f>'01 -OPĆI'!C35+'02- KOMUNALNI'!C35+'03-SMEĆE'!C35+'04-H.G.I.'!C35+'05-IGRALIŠTA'!C35</f>
        <v>72000</v>
      </c>
      <c r="D35" s="113">
        <f>'01 -OPĆI'!D35+'02- KOMUNALNI'!D35+'03-SMEĆE'!D35+'04-PROMIDŽBA'!C35+'04-H.G.I.'!D35+'05-IGRALIŠTA'!D35+'08-PREFAKTURIRATI ALBANEŽ'!C35</f>
        <v>85916.360000000015</v>
      </c>
      <c r="E35" s="208">
        <f t="shared" si="2"/>
        <v>1.1932827777777779</v>
      </c>
      <c r="F35" s="82">
        <f>'01 -OPĆI'!F35+'02- KOMUNALNI'!F35+'03-SMEĆE'!F35+'04-PROMIDŽBA'!E35+'04-H.G.I.'!F35+'05-IGRALIŠTA'!F35+'08-PREFAKTURIRATI ALBANEŽ'!E35</f>
        <v>44800</v>
      </c>
      <c r="H35" s="153"/>
    </row>
    <row r="36" spans="1:8" ht="30" customHeight="1" x14ac:dyDescent="0.25">
      <c r="A36" s="9"/>
      <c r="B36" s="8" t="s">
        <v>45</v>
      </c>
      <c r="C36" s="113">
        <f>'01 -OPĆI'!C36+'02- KOMUNALNI'!C36+'03-SMEĆE'!C36+'04-H.G.I.'!C36+'05-IGRALIŠTA'!C36</f>
        <v>8800</v>
      </c>
      <c r="D36" s="113">
        <f>'01 -OPĆI'!D36+'02- KOMUNALNI'!D36+'03-SMEĆE'!D36+'04-PROMIDŽBA'!C36+'04-H.G.I.'!D36+'05-IGRALIŠTA'!D36+'08-PREFAKTURIRATI ALBANEŽ'!C36</f>
        <v>2607.8200000000002</v>
      </c>
      <c r="E36" s="208">
        <f t="shared" si="2"/>
        <v>0.29634318181818181</v>
      </c>
      <c r="F36" s="82">
        <f>'01 -OPĆI'!F36+'02- KOMUNALNI'!F36+'03-SMEĆE'!F36+'04-PROMIDŽBA'!E36+'04-H.G.I.'!F36+'05-IGRALIŠTA'!F36+'08-PREFAKTURIRATI ALBANEŽ'!E36</f>
        <v>3400</v>
      </c>
      <c r="H36" s="153"/>
    </row>
    <row r="37" spans="1:8" ht="30" customHeight="1" x14ac:dyDescent="0.25">
      <c r="A37" s="9" t="s">
        <v>1</v>
      </c>
      <c r="B37" s="8" t="s">
        <v>46</v>
      </c>
      <c r="C37" s="113">
        <f>'01 -OPĆI'!C37+'02- KOMUNALNI'!C37+'03-SMEĆE'!C37+'04-H.G.I.'!C37+'05-IGRALIŠTA'!C37</f>
        <v>50000</v>
      </c>
      <c r="D37" s="113">
        <f>'01 -OPĆI'!D37+'02- KOMUNALNI'!D37+'03-SMEĆE'!D37+'04-PROMIDŽBA'!C37+'04-H.G.I.'!D37+'05-IGRALIŠTA'!D37+'08-PREFAKTURIRATI ALBANEŽ'!C37</f>
        <v>57951.89</v>
      </c>
      <c r="E37" s="208">
        <f t="shared" si="2"/>
        <v>1.1590377999999999</v>
      </c>
      <c r="F37" s="82">
        <f>'01 -OPĆI'!F37+'02- KOMUNALNI'!F37+'03-SMEĆE'!F37+'04-PROMIDŽBA'!E37+'04-H.G.I.'!F37+'05-IGRALIŠTA'!F37+'08-PREFAKTURIRATI ALBANEŽ'!E37</f>
        <v>56530</v>
      </c>
      <c r="H37" s="154"/>
    </row>
    <row r="38" spans="1:8" ht="30" customHeight="1" x14ac:dyDescent="0.25">
      <c r="A38" s="9"/>
      <c r="B38" s="8" t="s">
        <v>47</v>
      </c>
      <c r="C38" s="113">
        <f>'01 -OPĆI'!C38+'02- KOMUNALNI'!C38+'03-SMEĆE'!C38+'04-H.G.I.'!C38+'05-IGRALIŠTA'!C38</f>
        <v>110000</v>
      </c>
      <c r="D38" s="113">
        <f>'01 -OPĆI'!D38+'02- KOMUNALNI'!D38+'03-SMEĆE'!D38+'04-PROMIDŽBA'!C38+'04-H.G.I.'!D38+'05-IGRALIŠTA'!D38+'08-PREFAKTURIRATI ALBANEŽ'!C38</f>
        <v>104388</v>
      </c>
      <c r="E38" s="208">
        <f t="shared" si="2"/>
        <v>0.94898181818181815</v>
      </c>
      <c r="F38" s="82">
        <f>'01 -OPĆI'!F38+'02- KOMUNALNI'!F38+'03-SMEĆE'!F38+'04-PROMIDŽBA'!E38+'04-H.G.I.'!F38+'05-IGRALIŠTA'!F38+'08-PREFAKTURIRATI ALBANEŽ'!E38</f>
        <v>162500</v>
      </c>
      <c r="H38" s="153"/>
    </row>
    <row r="39" spans="1:8" ht="30" customHeight="1" x14ac:dyDescent="0.25">
      <c r="A39" s="9"/>
      <c r="B39" s="8" t="s">
        <v>48</v>
      </c>
      <c r="C39" s="113">
        <f>'01 -OPĆI'!C39+'02- KOMUNALNI'!C39+'03-SMEĆE'!C39+'04-H.G.I.'!C39+'05-IGRALIŠTA'!C39</f>
        <v>161119</v>
      </c>
      <c r="D39" s="113">
        <f>'01 -OPĆI'!D39+'02- KOMUNALNI'!D39+'03-SMEĆE'!D39+'04-PROMIDŽBA'!C39+'04-H.G.I.'!D39+'05-IGRALIŠTA'!D39+'08-PREFAKTURIRATI ALBANEŽ'!C39</f>
        <v>206194.82</v>
      </c>
      <c r="E39" s="208">
        <f t="shared" si="2"/>
        <v>1.2797672527758985</v>
      </c>
      <c r="F39" s="82">
        <f>'01 -OPĆI'!F39+'02- KOMUNALNI'!F39+'03-SMEĆE'!F39+'04-PROMIDŽBA'!E39+'04-H.G.I.'!F39+'05-IGRALIŠTA'!F39+'08-PREFAKTURIRATI ALBANEŽ'!E39</f>
        <v>112650</v>
      </c>
    </row>
    <row r="40" spans="1:8" ht="30" customHeight="1" x14ac:dyDescent="0.25">
      <c r="A40" s="9"/>
      <c r="B40" s="8" t="s">
        <v>180</v>
      </c>
      <c r="C40" s="113">
        <f>'01 -OPĆI'!C40+'02- KOMUNALNI'!C40+'03-SMEĆE'!C40+'04-H.G.I.'!C40+'05-IGRALIŠTA'!C40</f>
        <v>0</v>
      </c>
      <c r="D40" s="113">
        <f>'01 -OPĆI'!D40+'02- KOMUNALNI'!D40+'03-SMEĆE'!D40+'04-PROMIDŽBA'!C40+'04-H.G.I.'!D40+'05-IGRALIŠTA'!D40+'08-PREFAKTURIRATI ALBANEŽ'!C40</f>
        <v>5730.77</v>
      </c>
      <c r="E40" s="208" t="e">
        <f t="shared" si="2"/>
        <v>#DIV/0!</v>
      </c>
      <c r="F40" s="82">
        <f>'01 -OPĆI'!F40+'02- KOMUNALNI'!F40+'03-SMEĆE'!F40+'04-PROMIDŽBA'!E40+'04-H.G.I.'!F40+'05-IGRALIŠTA'!F40+'08-PREFAKTURIRATI ALBANEŽ'!E40</f>
        <v>35000</v>
      </c>
      <c r="H40" s="153"/>
    </row>
    <row r="41" spans="1:8" ht="30" customHeight="1" x14ac:dyDescent="0.25">
      <c r="A41" s="9"/>
      <c r="B41" s="8" t="s">
        <v>49</v>
      </c>
      <c r="C41" s="113">
        <f>'01 -OPĆI'!C41+'02- KOMUNALNI'!C41+'03-SMEĆE'!C41+'04-H.G.I.'!C41+'05-IGRALIŠTA'!C41</f>
        <v>30000</v>
      </c>
      <c r="D41" s="113">
        <f>'01 -OPĆI'!D41+'02- KOMUNALNI'!D41+'03-SMEĆE'!D41+'04-PROMIDŽBA'!C41+'04-H.G.I.'!D41+'05-IGRALIŠTA'!D41+'08-PREFAKTURIRATI ALBANEŽ'!C41</f>
        <v>30402</v>
      </c>
      <c r="E41" s="208">
        <f t="shared" si="2"/>
        <v>1.0134000000000001</v>
      </c>
      <c r="F41" s="82">
        <f>'01 -OPĆI'!F41+'02- KOMUNALNI'!F41+'03-SMEĆE'!F41+'04-PROMIDŽBA'!E41+'04-H.G.I.'!F41+'05-IGRALIŠTA'!F41+'08-PREFAKTURIRATI ALBANEŽ'!E41</f>
        <v>0</v>
      </c>
      <c r="H41" s="153"/>
    </row>
    <row r="42" spans="1:8" ht="30" customHeight="1" x14ac:dyDescent="0.25">
      <c r="A42" s="9"/>
      <c r="B42" s="8" t="s">
        <v>133</v>
      </c>
      <c r="C42" s="113">
        <f>'01 -OPĆI'!C42+'02- KOMUNALNI'!C42+'03-SMEĆE'!C42+'04-H.G.I.'!C42+'05-IGRALIŠTA'!C42</f>
        <v>0</v>
      </c>
      <c r="D42" s="113">
        <f>'01 -OPĆI'!D42+'02- KOMUNALNI'!D42+'03-SMEĆE'!D42+'04-PROMIDŽBA'!C42+'04-H.G.I.'!D42+'05-IGRALIŠTA'!D42+'08-PREFAKTURIRATI ALBANEŽ'!C42</f>
        <v>0</v>
      </c>
      <c r="E42" s="208"/>
      <c r="F42" s="82">
        <f>'01 -OPĆI'!F42+'02- KOMUNALNI'!F42+'03-SMEĆE'!F42+'04-PROMIDŽBA'!E42+'04-H.G.I.'!F42+'05-IGRALIŠTA'!F42+'08-PREFAKTURIRATI ALBANEŽ'!E42</f>
        <v>20000</v>
      </c>
      <c r="H42" s="153"/>
    </row>
    <row r="43" spans="1:8" ht="30" customHeight="1" x14ac:dyDescent="0.25">
      <c r="A43" s="9"/>
      <c r="B43" s="8" t="s">
        <v>139</v>
      </c>
      <c r="C43" s="113">
        <f>'01 -OPĆI'!C43+'02- KOMUNALNI'!C43+'03-SMEĆE'!C43+'04-H.G.I.'!C43+'05-IGRALIŠTA'!C43</f>
        <v>24000</v>
      </c>
      <c r="D43" s="113">
        <f>'01 -OPĆI'!D43+'02- KOMUNALNI'!D43+'03-SMEĆE'!D43+'04-PROMIDŽBA'!C43+'04-H.G.I.'!D43+'05-IGRALIŠTA'!D43+'08-PREFAKTURIRATI ALBANEŽ'!C43</f>
        <v>23803.08</v>
      </c>
      <c r="E43" s="208">
        <f t="shared" si="2"/>
        <v>0.99179500000000009</v>
      </c>
      <c r="F43" s="82">
        <f>'01 -OPĆI'!F43+'02- KOMUNALNI'!F43+'03-SMEĆE'!F43+'04-PROMIDŽBA'!E43+'04-H.G.I.'!F43+'05-IGRALIŠTA'!F43+'08-PREFAKTURIRATI ALBANEŽ'!E43</f>
        <v>500</v>
      </c>
      <c r="H43" s="154"/>
    </row>
    <row r="44" spans="1:8" ht="30" customHeight="1" x14ac:dyDescent="0.25">
      <c r="A44" s="9"/>
      <c r="B44" s="8" t="s">
        <v>50</v>
      </c>
      <c r="C44" s="113">
        <f>'01 -OPĆI'!C44+'02- KOMUNALNI'!C44+'03-SMEĆE'!C44+'04-H.G.I.'!C44+'05-IGRALIŠTA'!C44</f>
        <v>4500</v>
      </c>
      <c r="D44" s="113">
        <f>'01 -OPĆI'!D44+'02- KOMUNALNI'!D44+'03-SMEĆE'!D44+'04-PROMIDŽBA'!C44+'04-H.G.I.'!D44+'05-IGRALIŠTA'!D44+'08-PREFAKTURIRATI ALBANEŽ'!C44</f>
        <v>0</v>
      </c>
      <c r="E44" s="208">
        <f t="shared" si="2"/>
        <v>0</v>
      </c>
      <c r="F44" s="82">
        <f>'01 -OPĆI'!F44+'02- KOMUNALNI'!F44+'03-SMEĆE'!F44+'04-PROMIDŽBA'!E44+'04-H.G.I.'!F44+'05-IGRALIŠTA'!F44+'08-PREFAKTURIRATI ALBANEŽ'!E44</f>
        <v>25300</v>
      </c>
      <c r="H44" s="153"/>
    </row>
    <row r="45" spans="1:8" ht="30" customHeight="1" x14ac:dyDescent="0.25">
      <c r="A45" s="9"/>
      <c r="B45" s="8" t="s">
        <v>51</v>
      </c>
      <c r="C45" s="113">
        <f>'01 -OPĆI'!C45+'02- KOMUNALNI'!C45+'03-SMEĆE'!C45+'04-H.G.I.'!C45+'05-IGRALIŠTA'!C45</f>
        <v>105000</v>
      </c>
      <c r="D45" s="113">
        <f>'01 -OPĆI'!D45+'02- KOMUNALNI'!D45+'03-SMEĆE'!D45+'04-PROMIDŽBA'!C45+'04-H.G.I.'!D45+'05-IGRALIŠTA'!D45+'08-PREFAKTURIRATI ALBANEŽ'!C45</f>
        <v>90384.22</v>
      </c>
      <c r="E45" s="208">
        <f t="shared" si="2"/>
        <v>0.86080209523809526</v>
      </c>
      <c r="F45" s="82">
        <f>'01 -OPĆI'!F45+'02- KOMUNALNI'!F45+'03-SMEĆE'!F45+'04-PROMIDŽBA'!E45+'04-H.G.I.'!F45+'05-IGRALIŠTA'!F45+'08-PREFAKTURIRATI ALBANEŽ'!E45</f>
        <v>25000</v>
      </c>
      <c r="H45" s="154"/>
    </row>
    <row r="46" spans="1:8" ht="30" customHeight="1" x14ac:dyDescent="0.25">
      <c r="A46" s="9"/>
      <c r="B46" s="8" t="s">
        <v>134</v>
      </c>
      <c r="C46" s="113">
        <f>'01 -OPĆI'!C46+'02- KOMUNALNI'!C46+'03-SMEĆE'!C46+'04-H.G.I.'!C46+'05-IGRALIŠTA'!C46</f>
        <v>28000</v>
      </c>
      <c r="D46" s="113">
        <f>'01 -OPĆI'!D46+'02- KOMUNALNI'!D46+'03-SMEĆE'!D46+'04-PROMIDŽBA'!C46+'04-H.G.I.'!D46+'05-IGRALIŠTA'!D46+'08-PREFAKTURIRATI ALBANEŽ'!C46</f>
        <v>33108.74</v>
      </c>
      <c r="E46" s="208">
        <f t="shared" si="2"/>
        <v>1.182455</v>
      </c>
      <c r="F46" s="82">
        <f>'01 -OPĆI'!F46+'02- KOMUNALNI'!F46+'03-SMEĆE'!F46+'04-PROMIDŽBA'!E46+'04-H.G.I.'!F46+'05-IGRALIŠTA'!F46+'08-PREFAKTURIRATI ALBANEŽ'!E46</f>
        <v>0</v>
      </c>
      <c r="H46" s="153"/>
    </row>
    <row r="47" spans="1:8" ht="30" customHeight="1" x14ac:dyDescent="0.25">
      <c r="A47" s="9"/>
      <c r="B47" s="8" t="s">
        <v>52</v>
      </c>
      <c r="C47" s="113">
        <f>'01 -OPĆI'!C47+'02- KOMUNALNI'!C47+'03-SMEĆE'!C47+'04-H.G.I.'!C47+'05-IGRALIŠTA'!C47</f>
        <v>694981</v>
      </c>
      <c r="D47" s="113">
        <f>'01 -OPĆI'!D47+'02- KOMUNALNI'!D47+'03-SMEĆE'!D47+'04-PROMIDŽBA'!C47+'04-H.G.I.'!D47+'05-IGRALIŠTA'!D47+'08-PREFAKTURIRATI ALBANEŽ'!C47</f>
        <v>663267.30999999994</v>
      </c>
      <c r="E47" s="208">
        <f t="shared" si="2"/>
        <v>0.95436754386091127</v>
      </c>
      <c r="F47" s="82">
        <f>'01 -OPĆI'!F47+'02- KOMUNALNI'!F47+'03-SMEĆE'!F47+'04-PROMIDŽBA'!E47+'04-H.G.I.'!F47+'05-IGRALIŠTA'!F47+'08-PREFAKTURIRATI ALBANEŽ'!E47</f>
        <v>364500</v>
      </c>
      <c r="H47" s="153"/>
    </row>
    <row r="48" spans="1:8" s="52" customFormat="1" ht="30" customHeight="1" x14ac:dyDescent="0.25">
      <c r="A48" s="49" t="s">
        <v>7</v>
      </c>
      <c r="B48" s="50" t="s">
        <v>53</v>
      </c>
      <c r="C48" s="116">
        <f>C49+C50+C51+C52+C53+C54+C55+C56+C57+C58+C59+C60+C61+C62+C63+C64+C65+C66+C67+C68+C69+C70+C71+C72+C73+C75+C76+C77+C78+C79+C80+C81+C82+C83+C84+C85+C86+C87+C88+C89+C90+C91+C92+C93+C94+C95+C96+C97+C98+C74</f>
        <v>7579410</v>
      </c>
      <c r="D48" s="116">
        <f>D49+D50+D51+D52+D53+D54+D55+D56+D57+D58+D59+D60+D61+D62+D63+D64+D65+D66+D67+D68+D69+D70+D71+D72+D73+D75+D76+D77+D78+D79+D80+D81+D82+D83+D84+D85+D86+D87+D88+D89+D90+D91+D92+D93+D94+D95+D96+D97+D98+D74</f>
        <v>7172553.4299999997</v>
      </c>
      <c r="E48" s="204">
        <f t="shared" si="2"/>
        <v>0.94632081256984379</v>
      </c>
      <c r="F48" s="93">
        <f>F49+F50+F51+F52+F53+F54+F55+F56+F57+F58+F59+F60+F61+F62+F63+F64+F65+F66+F67+F68+F69+F70+F71+F72+F73+F75+F76+F77+F78+F79+F80+F81+F82+F83+F84+F85+F86+F87+F88+F89+F90+F91+F92+F93+F94+F95+F96+F97+F98+F74</f>
        <v>6522065</v>
      </c>
      <c r="H48" s="155"/>
    </row>
    <row r="49" spans="1:13" ht="30" customHeight="1" x14ac:dyDescent="0.25">
      <c r="A49" s="9"/>
      <c r="B49" s="8" t="s">
        <v>54</v>
      </c>
      <c r="C49" s="113">
        <f>'01 -OPĆI'!C49+'02- KOMUNALNI'!C49+'03-SMEĆE'!C49+'04-H.G.I.'!C49+'05-IGRALIŠTA'!C49</f>
        <v>73250</v>
      </c>
      <c r="D49" s="113">
        <f>'01 -OPĆI'!D49+'02- KOMUNALNI'!D49+'03-SMEĆE'!D49+'04-PROMIDŽBA'!C49+'04-H.G.I.'!D49+'05-IGRALIŠTA'!D49+'08-PREFAKTURIRATI ALBANEŽ'!C49</f>
        <v>56702.5</v>
      </c>
      <c r="E49" s="208">
        <f t="shared" si="2"/>
        <v>0.77409556313993177</v>
      </c>
      <c r="F49" s="82">
        <f>'01 -OPĆI'!F49+'02- KOMUNALNI'!F49+'03-SMEĆE'!F49+'04-PROMIDŽBA'!E49+'04-H.G.I.'!F49+'05-IGRALIŠTA'!F49+'08-PREFAKTURIRATI ALBANEŽ'!E49</f>
        <v>89485</v>
      </c>
      <c r="H49" s="154"/>
    </row>
    <row r="50" spans="1:13" ht="30" customHeight="1" x14ac:dyDescent="0.25">
      <c r="A50" s="9"/>
      <c r="B50" s="8" t="s">
        <v>176</v>
      </c>
      <c r="C50" s="113">
        <f>'01 -OPĆI'!C50+'02- KOMUNALNI'!C50+'03-SMEĆE'!C50+'04-H.G.I.'!C50+'05-IGRALIŠTA'!C50</f>
        <v>75000</v>
      </c>
      <c r="D50" s="113">
        <f>'01 -OPĆI'!D50+'02- KOMUNALNI'!D50+'03-SMEĆE'!D50+'04-PROMIDŽBA'!C50+'04-H.G.I.'!D50+'05-IGRALIŠTA'!D50+'08-PREFAKTURIRATI ALBANEŽ'!C50</f>
        <v>73860</v>
      </c>
      <c r="E50" s="208">
        <f t="shared" si="2"/>
        <v>0.98480000000000001</v>
      </c>
      <c r="F50" s="82">
        <f>'01 -OPĆI'!F50+'02- KOMUNALNI'!F50+'03-SMEĆE'!F50+'04-PROMIDŽBA'!E50+'04-H.G.I.'!F50+'05-IGRALIŠTA'!F50+'08-PREFAKTURIRATI ALBANEŽ'!E50</f>
        <v>46200</v>
      </c>
      <c r="H50" s="154"/>
    </row>
    <row r="51" spans="1:13" ht="30" customHeight="1" x14ac:dyDescent="0.25">
      <c r="A51" s="9"/>
      <c r="B51" s="8" t="s">
        <v>56</v>
      </c>
      <c r="C51" s="113">
        <f>'01 -OPĆI'!C51+'02- KOMUNALNI'!C51+'03-SMEĆE'!C51+'04-H.G.I.'!C51+'05-IGRALIŠTA'!C51</f>
        <v>65100</v>
      </c>
      <c r="D51" s="113">
        <f>'01 -OPĆI'!D51+'02- KOMUNALNI'!D51+'03-SMEĆE'!D51+'04-PROMIDŽBA'!C51+'04-H.G.I.'!D51+'05-IGRALIŠTA'!D51+'08-PREFAKTURIRATI ALBANEŽ'!C51</f>
        <v>71054.539999999994</v>
      </c>
      <c r="E51" s="208">
        <f t="shared" si="2"/>
        <v>1.0914675883256528</v>
      </c>
      <c r="F51" s="82">
        <f>'01 -OPĆI'!F51+'02- KOMUNALNI'!F51+'03-SMEĆE'!F51+'04-PROMIDŽBA'!E51+'04-H.G.I.'!F51+'05-IGRALIŠTA'!F51+'08-PREFAKTURIRATI ALBANEŽ'!E51</f>
        <v>63200</v>
      </c>
      <c r="H51" s="153"/>
    </row>
    <row r="52" spans="1:13" ht="30" customHeight="1" x14ac:dyDescent="0.25">
      <c r="A52" s="9"/>
      <c r="B52" s="8" t="s">
        <v>57</v>
      </c>
      <c r="C52" s="113">
        <f>'01 -OPĆI'!C52+'02- KOMUNALNI'!C52+'03-SMEĆE'!C52+'04-H.G.I.'!C52+'05-IGRALIŠTA'!C52</f>
        <v>10500</v>
      </c>
      <c r="D52" s="113">
        <f>'01 -OPĆI'!D52+'02- KOMUNALNI'!D52+'03-SMEĆE'!D52+'04-PROMIDŽBA'!C52+'04-H.G.I.'!D52+'05-IGRALIŠTA'!D52+'08-PREFAKTURIRATI ALBANEŽ'!C52</f>
        <v>10730</v>
      </c>
      <c r="E52" s="208">
        <f t="shared" si="2"/>
        <v>1.0219047619047619</v>
      </c>
      <c r="F52" s="82">
        <f>'01 -OPĆI'!F52+'02- KOMUNALNI'!F52+'03-SMEĆE'!F52+'04-PROMIDŽBA'!E52+'04-H.G.I.'!F52+'05-IGRALIŠTA'!F52+'08-PREFAKTURIRATI ALBANEŽ'!E52</f>
        <v>3540</v>
      </c>
      <c r="H52" s="153"/>
    </row>
    <row r="53" spans="1:13" ht="30" customHeight="1" x14ac:dyDescent="0.25">
      <c r="A53" s="9"/>
      <c r="B53" s="8" t="s">
        <v>58</v>
      </c>
      <c r="C53" s="113">
        <f>'01 -OPĆI'!C53+'02- KOMUNALNI'!C53+'03-SMEĆE'!C53+'04-H.G.I.'!C53+'05-IGRALIŠTA'!C53</f>
        <v>45000</v>
      </c>
      <c r="D53" s="113">
        <f>'01 -OPĆI'!D53+'02- KOMUNALNI'!D53+'03-SMEĆE'!D53+'04-PROMIDŽBA'!C53+'04-H.G.I.'!D53+'05-IGRALIŠTA'!D53+'08-PREFAKTURIRATI ALBANEŽ'!C53</f>
        <v>49064</v>
      </c>
      <c r="E53" s="208">
        <f t="shared" si="2"/>
        <v>1.090311111111111</v>
      </c>
      <c r="F53" s="82">
        <f>'01 -OPĆI'!F53+'02- KOMUNALNI'!F53+'03-SMEĆE'!F53+'04-PROMIDŽBA'!E53+'04-H.G.I.'!F53+'05-IGRALIŠTA'!F53+'08-PREFAKTURIRATI ALBANEŽ'!E53</f>
        <v>42600</v>
      </c>
      <c r="H53" s="153"/>
    </row>
    <row r="54" spans="1:13" ht="30" customHeight="1" x14ac:dyDescent="0.25">
      <c r="A54" s="9"/>
      <c r="B54" s="8" t="s">
        <v>59</v>
      </c>
      <c r="C54" s="113">
        <f>'01 -OPĆI'!C54+'02- KOMUNALNI'!C54+'03-SMEĆE'!C54+'04-H.G.I.'!C54+'05-IGRALIŠTA'!C54</f>
        <v>23800</v>
      </c>
      <c r="D54" s="113">
        <f>'01 -OPĆI'!D54+'02- KOMUNALNI'!D54+'03-SMEĆE'!D54+'04-PROMIDŽBA'!C54+'04-H.G.I.'!D54+'05-IGRALIŠTA'!D54+'08-PREFAKTURIRATI ALBANEŽ'!C54</f>
        <v>22064.25</v>
      </c>
      <c r="E54" s="208">
        <f t="shared" si="2"/>
        <v>0.92706932773109241</v>
      </c>
      <c r="F54" s="82">
        <f>'01 -OPĆI'!F54+'02- KOMUNALNI'!F54+'03-SMEĆE'!F54+'04-PROMIDŽBA'!E54+'04-H.G.I.'!F54+'05-IGRALIŠTA'!F54+'08-PREFAKTURIRATI ALBANEŽ'!E54</f>
        <v>6140</v>
      </c>
      <c r="H54" s="153"/>
    </row>
    <row r="55" spans="1:13" ht="39" customHeight="1" x14ac:dyDescent="0.25">
      <c r="A55" s="9"/>
      <c r="B55" s="8" t="s">
        <v>60</v>
      </c>
      <c r="C55" s="113">
        <f>'01 -OPĆI'!C55+'02- KOMUNALNI'!C55+'03-SMEĆE'!C55+'04-H.G.I.'!C55+'05-IGRALIŠTA'!C55</f>
        <v>575144</v>
      </c>
      <c r="D55" s="113">
        <f>'01 -OPĆI'!D55+'02- KOMUNALNI'!D55+'03-SMEĆE'!D55+'04-PROMIDŽBA'!C55+'04-H.G.I.'!D55+'05-IGRALIŠTA'!D55+'08-PREFAKTURIRATI ALBANEŽ'!C55</f>
        <v>538787.39</v>
      </c>
      <c r="E55" s="208">
        <f t="shared" si="2"/>
        <v>0.93678694379146787</v>
      </c>
      <c r="F55" s="82">
        <f>'01 -OPĆI'!F55+'02- KOMUNALNI'!F55+'03-SMEĆE'!F55+'04-PROMIDŽBA'!E55+'04-H.G.I.'!F55+'05-IGRALIŠTA'!F55+'08-PREFAKTURIRATI ALBANEŽ'!E55</f>
        <v>673920</v>
      </c>
      <c r="H55" s="158"/>
      <c r="I55" s="158"/>
      <c r="J55" s="158"/>
    </row>
    <row r="56" spans="1:13" ht="30" customHeight="1" x14ac:dyDescent="0.25">
      <c r="A56" s="9"/>
      <c r="B56" s="8" t="s">
        <v>61</v>
      </c>
      <c r="C56" s="113">
        <f>'01 -OPĆI'!C56+'02- KOMUNALNI'!C56+'03-SMEĆE'!C56+'04-H.G.I.'!C56+'05-IGRALIŠTA'!C56</f>
        <v>44808</v>
      </c>
      <c r="D56" s="113">
        <f>'01 -OPĆI'!D56+'02- KOMUNALNI'!D56+'03-SMEĆE'!D56+'04-PROMIDŽBA'!C56+'04-H.G.I.'!D56+'05-IGRALIŠTA'!D56+'08-PREFAKTURIRATI ALBANEŽ'!C56</f>
        <v>44890</v>
      </c>
      <c r="E56" s="208">
        <f t="shared" si="2"/>
        <v>1.0018300303517229</v>
      </c>
      <c r="F56" s="82">
        <f>'01 -OPĆI'!F56+'02- KOMUNALNI'!F56+'03-SMEĆE'!F56+'04-PROMIDŽBA'!E56+'04-H.G.I.'!F56+'05-IGRALIŠTA'!F56+'08-PREFAKTURIRATI ALBANEŽ'!E56</f>
        <v>31680</v>
      </c>
      <c r="H56" s="153"/>
      <c r="M56" s="156"/>
    </row>
    <row r="57" spans="1:13" ht="30" customHeight="1" x14ac:dyDescent="0.25">
      <c r="A57" s="9"/>
      <c r="B57" s="8" t="s">
        <v>62</v>
      </c>
      <c r="C57" s="113">
        <f>'01 -OPĆI'!C57+'02- KOMUNALNI'!C57+'03-SMEĆE'!C57+'04-H.G.I.'!C57+'05-IGRALIŠTA'!C57</f>
        <v>44650</v>
      </c>
      <c r="D57" s="113">
        <f>'01 -OPĆI'!D57+'02- KOMUNALNI'!D57+'03-SMEĆE'!D57+'04-PROMIDŽBA'!C57+'04-H.G.I.'!D57+'05-IGRALIŠTA'!D57+'08-PREFAKTURIRATI ALBANEŽ'!C57</f>
        <v>56642.55</v>
      </c>
      <c r="E57" s="208">
        <f t="shared" si="2"/>
        <v>1.2685901455767077</v>
      </c>
      <c r="F57" s="82">
        <f>'01 -OPĆI'!F57+'02- KOMUNALNI'!F57+'03-SMEĆE'!F57+'04-PROMIDŽBA'!E57+'04-H.G.I.'!F57+'05-IGRALIŠTA'!F57+'08-PREFAKTURIRATI ALBANEŽ'!E57</f>
        <v>46735</v>
      </c>
      <c r="H57" s="153"/>
    </row>
    <row r="58" spans="1:13" ht="30" customHeight="1" x14ac:dyDescent="0.25">
      <c r="A58" s="9"/>
      <c r="B58" s="8" t="s">
        <v>135</v>
      </c>
      <c r="C58" s="113">
        <f>'01 -OPĆI'!C58+'02- KOMUNALNI'!C58+'03-SMEĆE'!C58+'04-H.G.I.'!C58+'05-IGRALIŠTA'!C58</f>
        <v>17000</v>
      </c>
      <c r="D58" s="113">
        <f>'01 -OPĆI'!D58+'02- KOMUNALNI'!D58+'03-SMEĆE'!D58+'04-PROMIDŽBA'!C58+'04-H.G.I.'!D58+'05-IGRALIŠTA'!D58+'08-PREFAKTURIRATI ALBANEŽ'!C58</f>
        <v>16899.669999999998</v>
      </c>
      <c r="E58" s="208">
        <f t="shared" si="2"/>
        <v>0.99409823529411756</v>
      </c>
      <c r="F58" s="82">
        <f>'01 -OPĆI'!F58+'02- KOMUNALNI'!F58+'03-SMEĆE'!F58+'04-PROMIDŽBA'!E58+'04-H.G.I.'!F58+'05-IGRALIŠTA'!F58+'08-PREFAKTURIRATI ALBANEŽ'!E58</f>
        <v>16000</v>
      </c>
      <c r="H58" s="153"/>
    </row>
    <row r="59" spans="1:13" ht="30" customHeight="1" x14ac:dyDescent="0.25">
      <c r="A59" s="9"/>
      <c r="B59" s="8"/>
      <c r="C59" s="113">
        <f>'01 -OPĆI'!C59+'02- KOMUNALNI'!C59+'03-SMEĆE'!C59+'04-H.G.I.'!C59+'05-IGRALIŠTA'!C59</f>
        <v>0</v>
      </c>
      <c r="D59" s="113">
        <f>'01 -OPĆI'!D59+'02- KOMUNALNI'!D59+'03-SMEĆE'!D59+'04-PROMIDŽBA'!C59+'04-H.G.I.'!D59+'05-IGRALIŠTA'!D59+'08-PREFAKTURIRATI ALBANEŽ'!C59</f>
        <v>0</v>
      </c>
      <c r="E59" s="208"/>
      <c r="F59" s="82">
        <f>'01 -OPĆI'!F59+'02- KOMUNALNI'!F59+'03-SMEĆE'!F59+'04-PROMIDŽBA'!E59+'04-H.G.I.'!F59+'05-IGRALIŠTA'!F59+'08-PREFAKTURIRATI ALBANEŽ'!E59</f>
        <v>0</v>
      </c>
      <c r="H59" s="153"/>
    </row>
    <row r="60" spans="1:13" ht="30" customHeight="1" x14ac:dyDescent="0.25">
      <c r="A60" s="9"/>
      <c r="B60" s="8" t="s">
        <v>63</v>
      </c>
      <c r="C60" s="113">
        <f>'01 -OPĆI'!C60+'02- KOMUNALNI'!C60+'03-SMEĆE'!C60+'04-H.G.I.'!C60+'05-IGRALIŠTA'!C60</f>
        <v>38100</v>
      </c>
      <c r="D60" s="113">
        <f>'01 -OPĆI'!D60+'02- KOMUNALNI'!D60+'03-SMEĆE'!D60+'04-PROMIDŽBA'!C60+'04-H.G.I.'!D60+'05-IGRALIŠTA'!D60+'08-PREFAKTURIRATI ALBANEŽ'!C60</f>
        <v>36230</v>
      </c>
      <c r="E60" s="208">
        <f t="shared" si="2"/>
        <v>0.95091863517060371</v>
      </c>
      <c r="F60" s="82">
        <f>'01 -OPĆI'!F60+'02- KOMUNALNI'!F60+'03-SMEĆE'!F60+'04-PROMIDŽBA'!E60+'04-H.G.I.'!F60+'05-IGRALIŠTA'!F60+'08-PREFAKTURIRATI ALBANEŽ'!E60</f>
        <v>19700</v>
      </c>
      <c r="H60" s="153"/>
    </row>
    <row r="61" spans="1:13" ht="30" customHeight="1" x14ac:dyDescent="0.25">
      <c r="A61" s="9"/>
      <c r="B61" s="8" t="s">
        <v>64</v>
      </c>
      <c r="C61" s="113">
        <f>'01 -OPĆI'!C61+'02- KOMUNALNI'!C61+'03-SMEĆE'!C61+'04-H.G.I.'!C61+'05-IGRALIŠTA'!C61</f>
        <v>13000</v>
      </c>
      <c r="D61" s="113">
        <f>'01 -OPĆI'!D61+'02- KOMUNALNI'!D61+'03-SMEĆE'!D61+'04-PROMIDŽBA'!C61+'04-H.G.I.'!D61+'05-IGRALIŠTA'!D61+'08-PREFAKTURIRATI ALBANEŽ'!C61</f>
        <v>16150</v>
      </c>
      <c r="E61" s="208">
        <f t="shared" si="2"/>
        <v>1.2423076923076923</v>
      </c>
      <c r="F61" s="82">
        <f>'01 -OPĆI'!F61+'02- KOMUNALNI'!F61+'03-SMEĆE'!F61+'04-PROMIDŽBA'!E61+'04-H.G.I.'!F61+'05-IGRALIŠTA'!F61+'08-PREFAKTURIRATI ALBANEŽ'!E61</f>
        <v>8400</v>
      </c>
      <c r="H61" s="153"/>
    </row>
    <row r="62" spans="1:13" ht="30" customHeight="1" x14ac:dyDescent="0.25">
      <c r="A62" s="9"/>
      <c r="B62" s="8" t="s">
        <v>65</v>
      </c>
      <c r="C62" s="113">
        <f>'01 -OPĆI'!C62+'02- KOMUNALNI'!C62+'03-SMEĆE'!C62+'04-H.G.I.'!C62+'05-IGRALIŠTA'!C62</f>
        <v>3000</v>
      </c>
      <c r="D62" s="113">
        <f>'01 -OPĆI'!D62+'02- KOMUNALNI'!D62+'03-SMEĆE'!D62+'04-PROMIDŽBA'!C62+'04-H.G.I.'!D62+'05-IGRALIŠTA'!D62+'08-PREFAKTURIRATI ALBANEŽ'!C62</f>
        <v>2450.4899999999998</v>
      </c>
      <c r="E62" s="208">
        <f t="shared" si="2"/>
        <v>0.81682999999999995</v>
      </c>
      <c r="F62" s="82">
        <f>'01 -OPĆI'!F62+'02- KOMUNALNI'!F62+'03-SMEĆE'!F62+'04-PROMIDŽBA'!E62+'04-H.G.I.'!F62+'05-IGRALIŠTA'!F62+'08-PREFAKTURIRATI ALBANEŽ'!E62</f>
        <v>3000</v>
      </c>
      <c r="H62" s="153"/>
    </row>
    <row r="63" spans="1:13" ht="30" customHeight="1" x14ac:dyDescent="0.25">
      <c r="A63" s="9"/>
      <c r="B63" s="8" t="s">
        <v>136</v>
      </c>
      <c r="C63" s="113">
        <f>'01 -OPĆI'!C63+'02- KOMUNALNI'!C63+'03-SMEĆE'!C63+'04-H.G.I.'!C63+'05-IGRALIŠTA'!C63</f>
        <v>3700</v>
      </c>
      <c r="D63" s="113">
        <f>'01 -OPĆI'!D63+'02- KOMUNALNI'!D63+'03-SMEĆE'!D63+'04-PROMIDŽBA'!C63+'04-H.G.I.'!D63+'05-IGRALIŠTA'!D63+'08-PREFAKTURIRATI ALBANEŽ'!C63</f>
        <v>3657.93</v>
      </c>
      <c r="E63" s="208">
        <f t="shared" si="2"/>
        <v>0.98862972972972973</v>
      </c>
      <c r="F63" s="82">
        <f>'01 -OPĆI'!F63+'02- KOMUNALNI'!F63+'03-SMEĆE'!F63+'04-PROMIDŽBA'!E63+'04-H.G.I.'!F63+'05-IGRALIŠTA'!F63+'08-PREFAKTURIRATI ALBANEŽ'!E63</f>
        <v>5000</v>
      </c>
      <c r="H63" s="153"/>
    </row>
    <row r="64" spans="1:13" ht="30" customHeight="1" x14ac:dyDescent="0.25">
      <c r="A64" s="9"/>
      <c r="B64" s="8"/>
      <c r="C64" s="113">
        <f>'01 -OPĆI'!C64+'02- KOMUNALNI'!C64+'03-SMEĆE'!C64+'04-H.G.I.'!C64+'05-IGRALIŠTA'!C64</f>
        <v>0</v>
      </c>
      <c r="D64" s="113">
        <f>'01 -OPĆI'!D64+'02- KOMUNALNI'!D64+'03-SMEĆE'!D64+'04-PROMIDŽBA'!C64+'04-H.G.I.'!D64+'05-IGRALIŠTA'!D64+'08-PREFAKTURIRATI ALBANEŽ'!C64</f>
        <v>0</v>
      </c>
      <c r="E64" s="208"/>
      <c r="F64" s="82">
        <f>'01 -OPĆI'!F64+'02- KOMUNALNI'!F64+'03-SMEĆE'!F64+'04-PROMIDŽBA'!E64+'04-H.G.I.'!F64+'05-IGRALIŠTA'!F64+'08-PREFAKTURIRATI ALBANEŽ'!E64</f>
        <v>0</v>
      </c>
      <c r="H64" s="153"/>
    </row>
    <row r="65" spans="1:8" ht="30" customHeight="1" x14ac:dyDescent="0.25">
      <c r="A65" s="9"/>
      <c r="B65" s="8" t="s">
        <v>66</v>
      </c>
      <c r="C65" s="113">
        <f>'01 -OPĆI'!C65+'02- KOMUNALNI'!C65+'03-SMEĆE'!C65+'04-H.G.I.'!C65+'05-IGRALIŠTA'!C65</f>
        <v>82000</v>
      </c>
      <c r="D65" s="113">
        <f>'01 -OPĆI'!D65+'02- KOMUNALNI'!D65+'03-SMEĆE'!D65+'04-PROMIDŽBA'!C65+'04-H.G.I.'!D65+'05-IGRALIŠTA'!D65+'08-PREFAKTURIRATI ALBANEŽ'!C65</f>
        <v>79477.290000000008</v>
      </c>
      <c r="E65" s="208">
        <f t="shared" si="2"/>
        <v>0.96923524390243909</v>
      </c>
      <c r="F65" s="82">
        <f>'01 -OPĆI'!F65+'02- KOMUNALNI'!F65+'03-SMEĆE'!F65+'04-PROMIDŽBA'!E65+'04-H.G.I.'!F65+'05-IGRALIŠTA'!F65+'08-PREFAKTURIRATI ALBANEŽ'!E65</f>
        <v>60200</v>
      </c>
      <c r="H65" s="153"/>
    </row>
    <row r="66" spans="1:8" ht="30" customHeight="1" x14ac:dyDescent="0.25">
      <c r="A66" s="9"/>
      <c r="B66" s="8" t="s">
        <v>67</v>
      </c>
      <c r="C66" s="113">
        <f>'01 -OPĆI'!C66+'02- KOMUNALNI'!C66+'03-SMEĆE'!C66+'04-H.G.I.'!C66+'05-IGRALIŠTA'!C66</f>
        <v>2620</v>
      </c>
      <c r="D66" s="113">
        <f>'01 -OPĆI'!D66+'02- KOMUNALNI'!D66+'03-SMEĆE'!D66+'04-PROMIDŽBA'!C66+'04-H.G.I.'!D66+'05-IGRALIŠTA'!D66+'08-PREFAKTURIRATI ALBANEŽ'!C66</f>
        <v>2527.4299999999998</v>
      </c>
      <c r="E66" s="208">
        <f t="shared" si="2"/>
        <v>0.96466793893129765</v>
      </c>
      <c r="F66" s="82">
        <f>'01 -OPĆI'!F66+'02- KOMUNALNI'!F66+'03-SMEĆE'!F66+'04-PROMIDŽBA'!E66+'04-H.G.I.'!F66+'05-IGRALIŠTA'!F66+'08-PREFAKTURIRATI ALBANEŽ'!E66</f>
        <v>1615</v>
      </c>
      <c r="H66" s="153"/>
    </row>
    <row r="67" spans="1:8" ht="30" customHeight="1" x14ac:dyDescent="0.25">
      <c r="A67" s="9"/>
      <c r="B67" s="8" t="s">
        <v>68</v>
      </c>
      <c r="C67" s="113">
        <f>'01 -OPĆI'!C67+'02- KOMUNALNI'!C67+'03-SMEĆE'!C67+'04-H.G.I.'!C67+'05-IGRALIŠTA'!C67</f>
        <v>0</v>
      </c>
      <c r="D67" s="113">
        <f>'01 -OPĆI'!D67+'02- KOMUNALNI'!D67+'03-SMEĆE'!D67+'04-PROMIDŽBA'!C67+'04-H.G.I.'!D67+'05-IGRALIŠTA'!D67+'08-PREFAKTURIRATI ALBANEŽ'!C67</f>
        <v>0</v>
      </c>
      <c r="E67" s="208"/>
      <c r="F67" s="82">
        <f>'01 -OPĆI'!F67+'02- KOMUNALNI'!F67+'03-SMEĆE'!F67+'04-PROMIDŽBA'!E67+'04-H.G.I.'!F67+'05-IGRALIŠTA'!F67+'08-PREFAKTURIRATI ALBANEŽ'!E67</f>
        <v>0</v>
      </c>
      <c r="H67" s="153"/>
    </row>
    <row r="68" spans="1:8" ht="30" customHeight="1" x14ac:dyDescent="0.25">
      <c r="A68" s="9"/>
      <c r="B68" s="8" t="s">
        <v>137</v>
      </c>
      <c r="C68" s="113">
        <f>'01 -OPĆI'!C68+'02- KOMUNALNI'!C68+'03-SMEĆE'!C68+'04-H.G.I.'!C68+'05-IGRALIŠTA'!C68</f>
        <v>0</v>
      </c>
      <c r="D68" s="113">
        <f>'01 -OPĆI'!D68+'02- KOMUNALNI'!D68+'03-SMEĆE'!D68+'04-PROMIDŽBA'!C68+'04-H.G.I.'!D68+'05-IGRALIŠTA'!D68+'08-PREFAKTURIRATI ALBANEŽ'!C68</f>
        <v>0</v>
      </c>
      <c r="E68" s="208"/>
      <c r="F68" s="82">
        <f>'01 -OPĆI'!F68+'02- KOMUNALNI'!F68+'03-SMEĆE'!F68+'04-PROMIDŽBA'!E68+'04-H.G.I.'!F68+'05-IGRALIŠTA'!F68+'08-PREFAKTURIRATI ALBANEŽ'!E68</f>
        <v>22770</v>
      </c>
      <c r="H68" s="153"/>
    </row>
    <row r="69" spans="1:8" ht="30" customHeight="1" x14ac:dyDescent="0.25">
      <c r="A69" s="9"/>
      <c r="B69" s="8" t="s">
        <v>138</v>
      </c>
      <c r="C69" s="113">
        <f>'01 -OPĆI'!C69+'02- KOMUNALNI'!C69+'03-SMEĆE'!C69+'04-H.G.I.'!C69+'05-IGRALIŠTA'!C69</f>
        <v>0</v>
      </c>
      <c r="D69" s="113">
        <f>'01 -OPĆI'!D69+'02- KOMUNALNI'!D69+'03-SMEĆE'!D69+'04-PROMIDŽBA'!C69+'04-H.G.I.'!D69+'05-IGRALIŠTA'!D69+'08-PREFAKTURIRATI ALBANEŽ'!C69</f>
        <v>0</v>
      </c>
      <c r="E69" s="208"/>
      <c r="F69" s="82">
        <f>'01 -OPĆI'!F69+'02- KOMUNALNI'!F69+'03-SMEĆE'!F69+'04-PROMIDŽBA'!E69+'04-H.G.I.'!F69+'05-IGRALIŠTA'!F69+'08-PREFAKTURIRATI ALBANEŽ'!E69</f>
        <v>0</v>
      </c>
      <c r="H69" s="153"/>
    </row>
    <row r="70" spans="1:8" ht="30" customHeight="1" x14ac:dyDescent="0.25">
      <c r="A70" s="9"/>
      <c r="B70" s="8" t="s">
        <v>69</v>
      </c>
      <c r="C70" s="113">
        <f>'01 -OPĆI'!C70+'02- KOMUNALNI'!C70+'03-SMEĆE'!C70+'04-H.G.I.'!C70+'05-IGRALIŠTA'!C70</f>
        <v>0</v>
      </c>
      <c r="D70" s="113">
        <f>'01 -OPĆI'!D70+'02- KOMUNALNI'!D70+'03-SMEĆE'!D70+'04-PROMIDŽBA'!C70+'04-H.G.I.'!D70+'05-IGRALIŠTA'!D70+'08-PREFAKTURIRATI ALBANEŽ'!C70</f>
        <v>0</v>
      </c>
      <c r="E70" s="208"/>
      <c r="F70" s="82">
        <f>'01 -OPĆI'!F70+'02- KOMUNALNI'!F70+'03-SMEĆE'!F70+'04-PROMIDŽBA'!E70+'04-H.G.I.'!F70+'05-IGRALIŠTA'!F70+'08-PREFAKTURIRATI ALBANEŽ'!E70</f>
        <v>10130</v>
      </c>
      <c r="H70" s="153"/>
    </row>
    <row r="71" spans="1:8" ht="30" customHeight="1" x14ac:dyDescent="0.25">
      <c r="A71" s="9"/>
      <c r="B71" s="8" t="s">
        <v>70</v>
      </c>
      <c r="C71" s="113">
        <f>'01 -OPĆI'!C71+'02- KOMUNALNI'!C71+'03-SMEĆE'!C71+'04-H.G.I.'!C71+'05-IGRALIŠTA'!C71</f>
        <v>50500</v>
      </c>
      <c r="D71" s="113">
        <f>'01 -OPĆI'!D71+'02- KOMUNALNI'!D71+'03-SMEĆE'!D71+'04-PROMIDŽBA'!C71+'04-H.G.I.'!D71+'05-IGRALIŠTA'!D71+'08-PREFAKTURIRATI ALBANEŽ'!C71</f>
        <v>59397</v>
      </c>
      <c r="E71" s="208">
        <f t="shared" si="2"/>
        <v>1.1761782178217821</v>
      </c>
      <c r="F71" s="82">
        <f>'01 -OPĆI'!F71+'02- KOMUNALNI'!F71+'03-SMEĆE'!F71+'04-PROMIDŽBA'!E71+'04-H.G.I.'!F71+'05-IGRALIŠTA'!F71+'08-PREFAKTURIRATI ALBANEŽ'!E71</f>
        <v>37845</v>
      </c>
      <c r="H71" s="153"/>
    </row>
    <row r="72" spans="1:8" ht="30" customHeight="1" x14ac:dyDescent="0.25">
      <c r="A72" s="9"/>
      <c r="B72" s="8" t="s">
        <v>71</v>
      </c>
      <c r="C72" s="113">
        <f>'01 -OPĆI'!C72+'02- KOMUNALNI'!C72+'03-SMEĆE'!C72+'04-H.G.I.'!C72+'05-IGRALIŠTA'!C72</f>
        <v>6000</v>
      </c>
      <c r="D72" s="113">
        <f>'01 -OPĆI'!D72+'02- KOMUNALNI'!D72+'03-SMEĆE'!D72+'04-PROMIDŽBA'!C72+'04-H.G.I.'!D72+'05-IGRALIŠTA'!D72+'08-PREFAKTURIRATI ALBANEŽ'!C72</f>
        <v>5600</v>
      </c>
      <c r="E72" s="208">
        <f t="shared" si="2"/>
        <v>0.93333333333333335</v>
      </c>
      <c r="F72" s="82">
        <f>'01 -OPĆI'!F72+'02- KOMUNALNI'!F72+'03-SMEĆE'!F72+'04-PROMIDŽBA'!E72+'04-H.G.I.'!F72+'05-IGRALIŠTA'!F72+'08-PREFAKTURIRATI ALBANEŽ'!E72</f>
        <v>11670</v>
      </c>
      <c r="H72" s="153"/>
    </row>
    <row r="73" spans="1:8" ht="30" customHeight="1" x14ac:dyDescent="0.25">
      <c r="A73" s="9"/>
      <c r="B73" s="8" t="s">
        <v>72</v>
      </c>
      <c r="C73" s="113">
        <f>'01 -OPĆI'!C73+'02- KOMUNALNI'!C73+'03-SMEĆE'!C73+'04-H.G.I.'!C73+'05-IGRALIŠTA'!C73</f>
        <v>0</v>
      </c>
      <c r="D73" s="113">
        <f>'01 -OPĆI'!D73+'02- KOMUNALNI'!D73+'03-SMEĆE'!D73+'04-PROMIDŽBA'!C73+'04-H.G.I.'!D73+'05-IGRALIŠTA'!D73+'08-PREFAKTURIRATI ALBANEŽ'!C73</f>
        <v>0</v>
      </c>
      <c r="E73" s="208"/>
      <c r="F73" s="82">
        <f>'01 -OPĆI'!F73+'02- KOMUNALNI'!F73+'03-SMEĆE'!F73+'04-PROMIDŽBA'!E73+'04-H.G.I.'!F73+'05-IGRALIŠTA'!F73+'08-PREFAKTURIRATI ALBANEŽ'!E73</f>
        <v>0</v>
      </c>
      <c r="H73" s="153"/>
    </row>
    <row r="74" spans="1:8" ht="30" customHeight="1" x14ac:dyDescent="0.25">
      <c r="A74" s="9"/>
      <c r="B74" s="8" t="s">
        <v>73</v>
      </c>
      <c r="C74" s="113">
        <f>'01 -OPĆI'!C74+'02- KOMUNALNI'!C74+'03-SMEĆE'!C74+'04-H.G.I.'!C74+'05-IGRALIŠTA'!C74</f>
        <v>13000</v>
      </c>
      <c r="D74" s="113">
        <f>'01 -OPĆI'!D74+'02- KOMUNALNI'!D74+'03-SMEĆE'!D74+'04-PROMIDŽBA'!C74+'04-H.G.I.'!D74+'05-IGRALIŠTA'!D74+'08-PREFAKTURIRATI ALBANEŽ'!C74</f>
        <v>500</v>
      </c>
      <c r="E74" s="208">
        <f t="shared" si="2"/>
        <v>3.8461538461538464E-2</v>
      </c>
      <c r="F74" s="82">
        <f>'01 -OPĆI'!F74+'02- KOMUNALNI'!F74+'03-SMEĆE'!F74+'04-PROMIDŽBA'!E74+'04-H.G.I.'!F74+'05-IGRALIŠTA'!F74+'08-PREFAKTURIRATI ALBANEŽ'!E74</f>
        <v>0</v>
      </c>
      <c r="H74" s="153"/>
    </row>
    <row r="75" spans="1:8" ht="30" customHeight="1" x14ac:dyDescent="0.25">
      <c r="A75" s="9"/>
      <c r="B75" s="8" t="s">
        <v>74</v>
      </c>
      <c r="C75" s="113">
        <f>'01 -OPĆI'!C75+'02- KOMUNALNI'!C75+'03-SMEĆE'!C75+'04-H.G.I.'!C75+'05-IGRALIŠTA'!C75</f>
        <v>156500</v>
      </c>
      <c r="D75" s="113">
        <f>'01 -OPĆI'!D75+'02- KOMUNALNI'!D75+'03-SMEĆE'!D75+'04-PROMIDŽBA'!C75+'04-H.G.I.'!D75+'05-IGRALIŠTA'!D75+'08-PREFAKTURIRATI ALBANEŽ'!C75</f>
        <v>190913.09</v>
      </c>
      <c r="E75" s="208">
        <f t="shared" si="2"/>
        <v>1.2198919488817892</v>
      </c>
      <c r="F75" s="82">
        <f>'01 -OPĆI'!F75+'02- KOMUNALNI'!F75+'03-SMEĆE'!F75+'04-PROMIDŽBA'!E75+'04-H.G.I.'!F75+'05-IGRALIŠTA'!F75+'08-PREFAKTURIRATI ALBANEŽ'!E75</f>
        <v>98760</v>
      </c>
      <c r="H75" s="153"/>
    </row>
    <row r="76" spans="1:8" ht="30" customHeight="1" x14ac:dyDescent="0.25">
      <c r="A76" s="9"/>
      <c r="B76" s="8" t="s">
        <v>75</v>
      </c>
      <c r="C76" s="113">
        <f>'01 -OPĆI'!C76+'02- KOMUNALNI'!C76+'03-SMEĆE'!C76+'04-H.G.I.'!C76+'05-IGRALIŠTA'!C76</f>
        <v>20000</v>
      </c>
      <c r="D76" s="113">
        <f>'01 -OPĆI'!D76+'02- KOMUNALNI'!D76+'03-SMEĆE'!D76+'04-PROMIDŽBA'!C76+'04-H.G.I.'!D76+'05-IGRALIŠTA'!D76+'08-PREFAKTURIRATI ALBANEŽ'!C76</f>
        <v>20000</v>
      </c>
      <c r="E76" s="208">
        <f t="shared" si="2"/>
        <v>1</v>
      </c>
      <c r="F76" s="82">
        <f>'01 -OPĆI'!F76+'02- KOMUNALNI'!F76+'03-SMEĆE'!F76+'04-PROMIDŽBA'!E76+'04-H.G.I.'!F76+'05-IGRALIŠTA'!F76+'08-PREFAKTURIRATI ALBANEŽ'!E76</f>
        <v>20000</v>
      </c>
      <c r="H76" s="153"/>
    </row>
    <row r="77" spans="1:8" ht="30" customHeight="1" x14ac:dyDescent="0.25">
      <c r="A77" s="9"/>
      <c r="B77" s="8" t="s">
        <v>76</v>
      </c>
      <c r="C77" s="113">
        <f>'01 -OPĆI'!C77+'02- KOMUNALNI'!C77+'03-SMEĆE'!C77+'04-H.G.I.'!C77+'05-IGRALIŠTA'!C77</f>
        <v>0</v>
      </c>
      <c r="D77" s="113">
        <f>'01 -OPĆI'!D77+'02- KOMUNALNI'!D77+'03-SMEĆE'!D77+'04-PROMIDŽBA'!C77+'04-H.G.I.'!D77+'05-IGRALIŠTA'!D77+'08-PREFAKTURIRATI ALBANEŽ'!C77</f>
        <v>0</v>
      </c>
      <c r="E77" s="208"/>
      <c r="F77" s="82">
        <f>'01 -OPĆI'!F77+'02- KOMUNALNI'!F77+'03-SMEĆE'!F77+'04-PROMIDŽBA'!E77+'04-H.G.I.'!F77+'05-IGRALIŠTA'!F77+'08-PREFAKTURIRATI ALBANEŽ'!E77</f>
        <v>0</v>
      </c>
      <c r="H77" s="153"/>
    </row>
    <row r="78" spans="1:8" ht="30" customHeight="1" x14ac:dyDescent="0.25">
      <c r="A78" s="9"/>
      <c r="B78" s="8" t="s">
        <v>77</v>
      </c>
      <c r="C78" s="113">
        <f>'01 -OPĆI'!C78+'02- KOMUNALNI'!C78+'03-SMEĆE'!C78+'04-H.G.I.'!C78+'05-IGRALIŠTA'!C78</f>
        <v>33120</v>
      </c>
      <c r="D78" s="113">
        <f>'01 -OPĆI'!D78+'02- KOMUNALNI'!D78+'03-SMEĆE'!D78+'04-PROMIDŽBA'!C78+'04-H.G.I.'!D78+'05-IGRALIŠTA'!D78+'08-PREFAKTURIRATI ALBANEŽ'!C78</f>
        <v>29681.05</v>
      </c>
      <c r="E78" s="208">
        <f t="shared" si="2"/>
        <v>0.89616696859903378</v>
      </c>
      <c r="F78" s="82">
        <f>'01 -OPĆI'!F78+'02- KOMUNALNI'!F78+'03-SMEĆE'!F78+'04-PROMIDŽBA'!E78+'04-H.G.I.'!F78+'05-IGRALIŠTA'!F78+'08-PREFAKTURIRATI ALBANEŽ'!E78</f>
        <v>43000</v>
      </c>
      <c r="H78" s="153"/>
    </row>
    <row r="79" spans="1:8" ht="36.75" customHeight="1" x14ac:dyDescent="0.25">
      <c r="A79" s="9"/>
      <c r="B79" s="8" t="s">
        <v>78</v>
      </c>
      <c r="C79" s="113">
        <f>'01 -OPĆI'!C79+'02- KOMUNALNI'!C79+'03-SMEĆE'!C79+'04-H.G.I.'!C79+'05-IGRALIŠTA'!C79</f>
        <v>2700</v>
      </c>
      <c r="D79" s="113">
        <f>'01 -OPĆI'!D79+'02- KOMUNALNI'!D79+'03-SMEĆE'!D79+'04-PROMIDŽBA'!C79+'04-H.G.I.'!D79+'05-IGRALIŠTA'!D79+'08-PREFAKTURIRATI ALBANEŽ'!C79</f>
        <v>2387.5</v>
      </c>
      <c r="E79" s="208">
        <f t="shared" si="2"/>
        <v>0.8842592592592593</v>
      </c>
      <c r="F79" s="82">
        <f>'01 -OPĆI'!F79+'02- KOMUNALNI'!F79+'03-SMEĆE'!F79+'04-PROMIDŽBA'!E79+'04-H.G.I.'!F79+'05-IGRALIŠTA'!F79+'08-PREFAKTURIRATI ALBANEŽ'!E79</f>
        <v>5000</v>
      </c>
      <c r="H79" s="153"/>
    </row>
    <row r="80" spans="1:8" ht="48" customHeight="1" x14ac:dyDescent="0.25">
      <c r="A80" s="9"/>
      <c r="B80" s="8" t="s">
        <v>79</v>
      </c>
      <c r="C80" s="113">
        <f>'01 -OPĆI'!C80+'02- KOMUNALNI'!C80+'03-SMEĆE'!C80+'04-H.G.I.'!C80+'05-IGRALIŠTA'!C80</f>
        <v>3530000</v>
      </c>
      <c r="D80" s="113">
        <f>'01 -OPĆI'!D80+'02- KOMUNALNI'!D80+'03-SMEĆE'!D80+'04-PROMIDŽBA'!C80+'04-H.G.I.'!D80+'05-IGRALIŠTA'!D80+'08-PREFAKTURIRATI ALBANEŽ'!C80</f>
        <v>3223251.54</v>
      </c>
      <c r="E80" s="208">
        <f t="shared" si="2"/>
        <v>0.91310241926345614</v>
      </c>
      <c r="F80" s="82">
        <f>'01 -OPĆI'!F80+'02- KOMUNALNI'!F80+'03-SMEĆE'!F80+'04-PROMIDŽBA'!E80+'04-H.G.I.'!F80+'05-IGRALIŠTA'!F80+'08-PREFAKTURIRATI ALBANEŽ'!E80</f>
        <v>2450000</v>
      </c>
      <c r="H80" s="154"/>
    </row>
    <row r="81" spans="1:8" ht="30" customHeight="1" x14ac:dyDescent="0.25">
      <c r="A81" s="9"/>
      <c r="B81" s="8" t="s">
        <v>181</v>
      </c>
      <c r="C81" s="113">
        <f>'01 -OPĆI'!C81+'02- KOMUNALNI'!C81+'03-SMEĆE'!C81+'04-H.G.I.'!C81+'05-IGRALIŠTA'!C81</f>
        <v>250000</v>
      </c>
      <c r="D81" s="113">
        <f>'01 -OPĆI'!D81+'02- KOMUNALNI'!D81+'03-SMEĆE'!D81+'04-PROMIDŽBA'!C81+'04-H.G.I.'!D81+'05-IGRALIŠTA'!D81+'08-PREFAKTURIRATI ALBANEŽ'!C81</f>
        <v>248773.58</v>
      </c>
      <c r="E81" s="208">
        <f t="shared" si="2"/>
        <v>0.99509431999999998</v>
      </c>
      <c r="F81" s="82">
        <f>'01 -OPĆI'!F81+'02- KOMUNALNI'!F81+'03-SMEĆE'!F81+'04-PROMIDŽBA'!E81+'04-H.G.I.'!F81+'05-IGRALIŠTA'!F81+'08-PREFAKTURIRATI ALBANEŽ'!E81</f>
        <v>280000</v>
      </c>
      <c r="H81" s="153"/>
    </row>
    <row r="82" spans="1:8" ht="30" customHeight="1" x14ac:dyDescent="0.25">
      <c r="A82" s="9"/>
      <c r="B82" s="8" t="s">
        <v>182</v>
      </c>
      <c r="C82" s="113">
        <f>'01 -OPĆI'!C82+'02- KOMUNALNI'!C82+'03-SMEĆE'!C82+'04-H.G.I.'!C82+'05-IGRALIŠTA'!C82</f>
        <v>55000</v>
      </c>
      <c r="D82" s="113">
        <f>'01 -OPĆI'!D82+'02- KOMUNALNI'!D82+'03-SMEĆE'!D82+'04-PROMIDŽBA'!C82+'04-H.G.I.'!D82+'05-IGRALIŠTA'!D82+'08-PREFAKTURIRATI ALBANEŽ'!C82</f>
        <v>53891.56</v>
      </c>
      <c r="E82" s="208">
        <f t="shared" si="2"/>
        <v>0.97984654545454541</v>
      </c>
      <c r="F82" s="82">
        <f>'01 -OPĆI'!F82+'02- KOMUNALNI'!F82+'03-SMEĆE'!F82+'04-PROMIDŽBA'!E82+'04-H.G.I.'!F82+'05-IGRALIŠTA'!F82+'08-PREFAKTURIRATI ALBANEŽ'!E82</f>
        <v>400000</v>
      </c>
      <c r="H82" s="153"/>
    </row>
    <row r="83" spans="1:8" ht="30" customHeight="1" x14ac:dyDescent="0.25">
      <c r="A83" s="9"/>
      <c r="B83" s="8" t="s">
        <v>82</v>
      </c>
      <c r="C83" s="113">
        <f>'01 -OPĆI'!C83+'02- KOMUNALNI'!C83+'03-SMEĆE'!C83+'04-H.G.I.'!C83+'05-IGRALIŠTA'!C83</f>
        <v>477741</v>
      </c>
      <c r="D83" s="113">
        <f>'01 -OPĆI'!D83+'02- KOMUNALNI'!D83+'03-SMEĆE'!D83+'04-PROMIDŽBA'!C83+'04-H.G.I.'!D83+'05-IGRALIŠTA'!D83+'08-PREFAKTURIRATI ALBANEŽ'!C83</f>
        <v>526392.93000000005</v>
      </c>
      <c r="E83" s="208">
        <f t="shared" si="2"/>
        <v>1.1018374600463432</v>
      </c>
      <c r="F83" s="82">
        <f>'01 -OPĆI'!F83+'02- KOMUNALNI'!F83+'03-SMEĆE'!F83+'04-PROMIDŽBA'!E83+'04-H.G.I.'!F83+'05-IGRALIŠTA'!F83+'08-PREFAKTURIRATI ALBANEŽ'!E83</f>
        <v>780000</v>
      </c>
      <c r="H83" s="153"/>
    </row>
    <row r="84" spans="1:8" ht="30" customHeight="1" x14ac:dyDescent="0.25">
      <c r="A84" s="9"/>
      <c r="B84" s="8" t="s">
        <v>83</v>
      </c>
      <c r="C84" s="113">
        <f>'01 -OPĆI'!C84+'02- KOMUNALNI'!C84+'03-SMEĆE'!C84+'04-H.G.I.'!C84+'05-IGRALIŠTA'!C84</f>
        <v>886997</v>
      </c>
      <c r="D84" s="113">
        <f>'01 -OPĆI'!D84+'02- KOMUNALNI'!D84+'03-SMEĆE'!D84+'04-PROMIDŽBA'!C84+'04-H.G.I.'!D84+'05-IGRALIŠTA'!D84+'08-PREFAKTURIRATI ALBANEŽ'!C84</f>
        <v>691256</v>
      </c>
      <c r="E84" s="208">
        <f t="shared" si="2"/>
        <v>0.77932168879939845</v>
      </c>
      <c r="F84" s="82">
        <f>'01 -OPĆI'!F84+'02- KOMUNALNI'!F84+'03-SMEĆE'!F84+'04-PROMIDŽBA'!E84+'04-H.G.I.'!F84+'05-IGRALIŠTA'!F84+'08-PREFAKTURIRATI ALBANEŽ'!E84</f>
        <v>800000</v>
      </c>
      <c r="H84" s="153"/>
    </row>
    <row r="85" spans="1:8" ht="30" customHeight="1" x14ac:dyDescent="0.25">
      <c r="A85" s="9"/>
      <c r="B85" s="8" t="s">
        <v>84</v>
      </c>
      <c r="C85" s="113">
        <f>'01 -OPĆI'!C85+'02- KOMUNALNI'!C85+'03-SMEĆE'!C85+'04-H.G.I.'!C85+'05-IGRALIŠTA'!C85</f>
        <v>18000</v>
      </c>
      <c r="D85" s="113">
        <f>'01 -OPĆI'!D85+'02- KOMUNALNI'!D85+'03-SMEĆE'!D85+'04-PROMIDŽBA'!C85+'04-H.G.I.'!D85+'05-IGRALIŠTA'!D85+'08-PREFAKTURIRATI ALBANEŽ'!C85</f>
        <v>14433.99</v>
      </c>
      <c r="E85" s="208">
        <f t="shared" si="2"/>
        <v>0.80188833333333331</v>
      </c>
      <c r="F85" s="82">
        <f>'01 -OPĆI'!F85+'02- KOMUNALNI'!F85+'03-SMEĆE'!F85+'04-PROMIDŽBA'!E85+'04-H.G.I.'!F85+'05-IGRALIŠTA'!F85+'08-PREFAKTURIRATI ALBANEŽ'!E85</f>
        <v>50000</v>
      </c>
    </row>
    <row r="86" spans="1:8" ht="30" customHeight="1" x14ac:dyDescent="0.25">
      <c r="A86" s="9"/>
      <c r="B86" s="8" t="s">
        <v>183</v>
      </c>
      <c r="C86" s="113">
        <f>'01 -OPĆI'!C86+'02- KOMUNALNI'!C86+'03-SMEĆE'!C86+'04-H.G.I.'!C86+'05-IGRALIŠTA'!C86</f>
        <v>172000</v>
      </c>
      <c r="D86" s="113">
        <f>'01 -OPĆI'!D86+'02- KOMUNALNI'!D86+'03-SMEĆE'!D86+'04-PROMIDŽBA'!C86+'04-H.G.I.'!D86+'05-IGRALIŠTA'!D86+'08-PREFAKTURIRATI ALBANEŽ'!C86</f>
        <v>244594</v>
      </c>
      <c r="E86" s="208">
        <f t="shared" si="2"/>
        <v>1.4220581395348837</v>
      </c>
      <c r="F86" s="82">
        <f>'01 -OPĆI'!F86+'02- KOMUNALNI'!F86+'03-SMEĆE'!F86+'04-PROMIDŽBA'!E86+'04-H.G.I.'!F86+'05-IGRALIŠTA'!F86+'08-PREFAKTURIRATI ALBANEŽ'!E86</f>
        <v>100000</v>
      </c>
    </row>
    <row r="87" spans="1:8" s="111" customFormat="1" ht="30" customHeight="1" x14ac:dyDescent="0.25">
      <c r="A87" s="9"/>
      <c r="B87" s="8" t="s">
        <v>186</v>
      </c>
      <c r="C87" s="113">
        <f>'01 -OPĆI'!C87+'02- KOMUNALNI'!C87+'03-SMEĆE'!C87+'04-H.G.I.'!C87+'05-IGRALIŠTA'!C87</f>
        <v>28000</v>
      </c>
      <c r="D87" s="113">
        <f>'01 -OPĆI'!D87+'02- KOMUNALNI'!D87+'03-SMEĆE'!D87+'04-PROMIDŽBA'!C87+'04-H.G.I.'!D87+'05-IGRALIŠTA'!D87+'08-PREFAKTURIRATI ALBANEŽ'!C87</f>
        <v>47679.59</v>
      </c>
      <c r="E87" s="208">
        <f t="shared" si="2"/>
        <v>1.7028424999999998</v>
      </c>
      <c r="F87" s="82">
        <f>'01 -OPĆI'!F87+'02- KOMUNALNI'!F87+'03-SMEĆE'!F87+'04-PROMIDŽBA'!E87+'04-H.G.I.'!F87+'05-IGRALIŠTA'!F87+'08-PREFAKTURIRATI ALBANEŽ'!E87</f>
        <v>114000</v>
      </c>
      <c r="G87" s="78"/>
    </row>
    <row r="88" spans="1:8" ht="30" customHeight="1" x14ac:dyDescent="0.25">
      <c r="A88" s="9"/>
      <c r="B88" s="8" t="s">
        <v>184</v>
      </c>
      <c r="C88" s="113">
        <f>'01 -OPĆI'!C88+'02- KOMUNALNI'!C88+'03-SMEĆE'!C88+'04-H.G.I.'!C88+'05-IGRALIŠTA'!C88</f>
        <v>15000</v>
      </c>
      <c r="D88" s="113">
        <f>'01 -OPĆI'!D88+'02- KOMUNALNI'!D88+'03-SMEĆE'!D88+'04-PROMIDŽBA'!C88+'04-H.G.I.'!D88+'05-IGRALIŠTA'!D88+'08-PREFAKTURIRATI ALBANEŽ'!C88</f>
        <v>10982</v>
      </c>
      <c r="E88" s="208">
        <f t="shared" si="2"/>
        <v>0.7321333333333333</v>
      </c>
      <c r="F88" s="82">
        <f>'01 -OPĆI'!F88+'02- KOMUNALNI'!F88+'03-SMEĆE'!F88+'04-PROMIDŽBA'!E88+'04-H.G.I.'!F88+'05-IGRALIŠTA'!F88+'08-PREFAKTURIRATI ALBANEŽ'!E88</f>
        <v>3000</v>
      </c>
    </row>
    <row r="89" spans="1:8" ht="30" customHeight="1" x14ac:dyDescent="0.25">
      <c r="A89" s="9"/>
      <c r="B89" s="8" t="s">
        <v>185</v>
      </c>
      <c r="C89" s="113">
        <f>'01 -OPĆI'!C89+'02- KOMUNALNI'!C89+'03-SMEĆE'!C89+'04-H.G.I.'!C89+'05-IGRALIŠTA'!C89</f>
        <v>12000</v>
      </c>
      <c r="D89" s="113">
        <f>'01 -OPĆI'!D89+'02- KOMUNALNI'!D89+'03-SMEĆE'!D89+'04-PROMIDŽBA'!C89+'04-H.G.I.'!D89+'05-IGRALIŠTA'!D89+'08-PREFAKTURIRATI ALBANEŽ'!C89</f>
        <v>9372.7999999999993</v>
      </c>
      <c r="E89" s="208">
        <f t="shared" si="2"/>
        <v>0.78106666666666658</v>
      </c>
      <c r="F89" s="82">
        <f>'01 -OPĆI'!F89+'02- KOMUNALNI'!F89+'03-SMEĆE'!F89+'04-PROMIDŽBA'!E89+'04-H.G.I.'!F89+'05-IGRALIŠTA'!F89+'08-PREFAKTURIRATI ALBANEŽ'!E89</f>
        <v>3800</v>
      </c>
    </row>
    <row r="90" spans="1:8" ht="30" customHeight="1" x14ac:dyDescent="0.25">
      <c r="A90" s="9"/>
      <c r="B90" s="8" t="s">
        <v>168</v>
      </c>
      <c r="C90" s="113">
        <f>'01 -OPĆI'!C90+'02- KOMUNALNI'!C90+'03-SMEĆE'!C90+'04-H.G.I.'!C90+'05-IGRALIŠTA'!C90</f>
        <v>30000</v>
      </c>
      <c r="D90" s="113">
        <f>'01 -OPĆI'!D90+'02- KOMUNALNI'!D90+'03-SMEĆE'!D90+'04-PROMIDŽBA'!C90+'04-H.G.I.'!D90+'05-IGRALIŠTA'!D90+'08-PREFAKTURIRATI ALBANEŽ'!C90</f>
        <v>35333.15</v>
      </c>
      <c r="E90" s="208">
        <f t="shared" si="2"/>
        <v>1.1777716666666667</v>
      </c>
      <c r="F90" s="82">
        <f>'01 -OPĆI'!F90+'02- KOMUNALNI'!F90+'03-SMEĆE'!F90+'04-PROMIDŽBA'!E90+'04-H.G.I.'!F90+'05-IGRALIŠTA'!F90+'08-PREFAKTURIRATI ALBANEŽ'!E90</f>
        <v>6500</v>
      </c>
    </row>
    <row r="91" spans="1:8" ht="30" customHeight="1" x14ac:dyDescent="0.25">
      <c r="A91" s="9"/>
      <c r="B91" s="8" t="s">
        <v>89</v>
      </c>
      <c r="C91" s="113">
        <f>'01 -OPĆI'!C91+'02- KOMUNALNI'!C91+'03-SMEĆE'!C91+'04-H.G.I.'!C91+'05-IGRALIŠTA'!C91</f>
        <v>5300</v>
      </c>
      <c r="D91" s="113">
        <f>'01 -OPĆI'!D91+'02- KOMUNALNI'!D91+'03-SMEĆE'!D91+'04-PROMIDŽBA'!C91+'04-H.G.I.'!D91+'05-IGRALIŠTA'!D91+'08-PREFAKTURIRATI ALBANEŽ'!C91</f>
        <v>3825.51</v>
      </c>
      <c r="E91" s="208">
        <f t="shared" si="2"/>
        <v>0.7217943396226415</v>
      </c>
      <c r="F91" s="82">
        <f>'01 -OPĆI'!F91+'02- KOMUNALNI'!F91+'03-SMEĆE'!F91+'04-PROMIDŽBA'!E91+'04-H.G.I.'!F91+'05-IGRALIŠTA'!F91+'08-PREFAKTURIRATI ALBANEŽ'!E91</f>
        <v>1600</v>
      </c>
    </row>
    <row r="92" spans="1:8" ht="30" customHeight="1" x14ac:dyDescent="0.25">
      <c r="A92" s="9"/>
      <c r="B92" s="8" t="s">
        <v>187</v>
      </c>
      <c r="C92" s="113">
        <f>'01 -OPĆI'!C92+'02- KOMUNALNI'!C92+'03-SMEĆE'!C92+'04-H.G.I.'!C92+'05-IGRALIŠTA'!C92</f>
        <v>0</v>
      </c>
      <c r="D92" s="113">
        <f>'01 -OPĆI'!D92+'02- KOMUNALNI'!D92+'03-SMEĆE'!D92+'04-PROMIDŽBA'!C92+'04-H.G.I.'!D92+'05-IGRALIŠTA'!D92+'08-PREFAKTURIRATI ALBANEŽ'!C92</f>
        <v>0</v>
      </c>
      <c r="E92" s="208"/>
      <c r="F92" s="82">
        <f>'01 -OPĆI'!F92+'02- KOMUNALNI'!F92+'03-SMEĆE'!F92+'04-PROMIDŽBA'!E92+'04-H.G.I.'!F92+'05-IGRALIŠTA'!F92+'08-PREFAKTURIRATI ALBANEŽ'!E92</f>
        <v>145000</v>
      </c>
    </row>
    <row r="93" spans="1:8" ht="30" customHeight="1" x14ac:dyDescent="0.25">
      <c r="A93" s="9"/>
      <c r="B93" s="8" t="s">
        <v>166</v>
      </c>
      <c r="C93" s="113">
        <f>'01 -OPĆI'!C93+'02- KOMUNALNI'!C93+'03-SMEĆE'!C93+'04-H.G.I.'!C93+'05-IGRALIŠTA'!C93</f>
        <v>582000</v>
      </c>
      <c r="D93" s="113">
        <f>'01 -OPĆI'!D93+'02- KOMUNALNI'!D93+'03-SMEĆE'!D93+'04-PROMIDŽBA'!C93+'04-H.G.I.'!D93+'05-IGRALIŠTA'!D93+'08-PREFAKTURIRATI ALBANEŽ'!C93</f>
        <v>580138.64</v>
      </c>
      <c r="E93" s="208">
        <f t="shared" si="2"/>
        <v>0.99680178694158073</v>
      </c>
      <c r="F93" s="82">
        <f>'01 -OPĆI'!F93+'02- KOMUNALNI'!F93+'03-SMEĆE'!F93+'04-PROMIDŽBA'!E93+'04-H.G.I.'!F93+'05-IGRALIŠTA'!F93+'08-PREFAKTURIRATI ALBANEŽ'!E93</f>
        <v>0</v>
      </c>
    </row>
    <row r="94" spans="1:8" ht="30" customHeight="1" x14ac:dyDescent="0.25">
      <c r="A94" s="9"/>
      <c r="B94" s="8" t="s">
        <v>167</v>
      </c>
      <c r="C94" s="113">
        <f>'01 -OPĆI'!C94+'02- KOMUNALNI'!C94+'03-SMEĆE'!C94+'04-H.G.I.'!C94+'05-IGRALIŠTA'!C94</f>
        <v>55000</v>
      </c>
      <c r="D94" s="113">
        <f>'01 -OPĆI'!D94+'02- KOMUNALNI'!D94+'03-SMEĆE'!D94+'04-PROMIDŽBA'!C94+'04-H.G.I.'!D94+'05-IGRALIŠTA'!D94+'08-PREFAKTURIRATI ALBANEŽ'!C94</f>
        <v>41666.800000000003</v>
      </c>
      <c r="E94" s="208">
        <f t="shared" si="2"/>
        <v>0.75757818181818182</v>
      </c>
      <c r="F94" s="82">
        <f>'01 -OPĆI'!F94+'02- KOMUNALNI'!F94+'03-SMEĆE'!F94+'04-PROMIDŽBA'!E94+'04-H.G.I.'!F94+'05-IGRALIŠTA'!F94+'08-PREFAKTURIRATI ALBANEŽ'!E94</f>
        <v>0</v>
      </c>
    </row>
    <row r="95" spans="1:8" ht="30" customHeight="1" x14ac:dyDescent="0.25">
      <c r="A95" s="9"/>
      <c r="B95" s="8" t="s">
        <v>91</v>
      </c>
      <c r="C95" s="113">
        <f>'01 -OPĆI'!C95+'02- KOMUNALNI'!C95+'03-SMEĆE'!C95+'04-H.G.I.'!C95+'05-IGRALIŠTA'!C95</f>
        <v>11000</v>
      </c>
      <c r="D95" s="113">
        <f>'01 -OPĆI'!D95+'02- KOMUNALNI'!D95+'03-SMEĆE'!D95+'04-PROMIDŽBA'!C95+'04-H.G.I.'!D95+'05-IGRALIŠTA'!D95+'08-PREFAKTURIRATI ALBANEŽ'!C95</f>
        <v>9250</v>
      </c>
      <c r="E95" s="208">
        <f t="shared" si="2"/>
        <v>0.84090909090909094</v>
      </c>
      <c r="F95" s="82">
        <f>'01 -OPĆI'!F95+'02- KOMUNALNI'!F95+'03-SMEĆE'!F95+'04-PROMIDŽBA'!E95+'04-H.G.I.'!F95+'05-IGRALIŠTA'!F95+'08-PREFAKTURIRATI ALBANEŽ'!E95</f>
        <v>3000</v>
      </c>
    </row>
    <row r="96" spans="1:8" ht="30" customHeight="1" x14ac:dyDescent="0.25">
      <c r="A96" s="9"/>
      <c r="B96" s="8" t="s">
        <v>92</v>
      </c>
      <c r="C96" s="113">
        <f>'01 -OPĆI'!C96+'02- KOMUNALNI'!C96+'03-SMEĆE'!C96+'04-H.G.I.'!C96+'05-IGRALIŠTA'!C96</f>
        <v>37670</v>
      </c>
      <c r="D96" s="113">
        <f>'01 -OPĆI'!D96+'02- KOMUNALNI'!D96+'03-SMEĆE'!D96+'04-PROMIDŽBA'!C96+'04-H.G.I.'!D96+'05-IGRALIŠTA'!D96+'08-PREFAKTURIRATI ALBANEŽ'!C96</f>
        <v>31511.59</v>
      </c>
      <c r="E96" s="208">
        <f t="shared" ref="E96:E134" si="3">D96/C96</f>
        <v>0.83651685691531719</v>
      </c>
      <c r="F96" s="82">
        <f>'01 -OPĆI'!F96+'02- KOMUNALNI'!F96+'03-SMEĆE'!F96+'04-PROMIDŽBA'!E96+'04-H.G.I.'!F96+'05-IGRALIŠTA'!F96+'08-PREFAKTURIRATI ALBANEŽ'!E96</f>
        <v>8250</v>
      </c>
    </row>
    <row r="97" spans="1:6" ht="30" customHeight="1" x14ac:dyDescent="0.25">
      <c r="A97" s="9"/>
      <c r="B97" s="8" t="s">
        <v>93</v>
      </c>
      <c r="C97" s="113">
        <f>'01 -OPĆI'!C97+'02- KOMUNALNI'!C97+'03-SMEĆE'!C97+'04-H.G.I.'!C97+'05-IGRALIŠTA'!C97</f>
        <v>0</v>
      </c>
      <c r="D97" s="113">
        <f>'01 -OPĆI'!D97+'02- KOMUNALNI'!D97+'03-SMEĆE'!D97+'04-PROMIDŽBA'!C97+'04-H.G.I.'!D97+'05-IGRALIŠTA'!D97+'08-PREFAKTURIRATI ALBANEŽ'!C97</f>
        <v>0</v>
      </c>
      <c r="E97" s="208"/>
      <c r="F97" s="82">
        <f>'01 -OPĆI'!F97+'02- KOMUNALNI'!F97+'03-SMEĆE'!F97+'04-PROMIDŽBA'!E97+'04-H.G.I.'!F97+'05-IGRALIŠTA'!F97+'08-PREFAKTURIRATI ALBANEŽ'!E97</f>
        <v>0</v>
      </c>
    </row>
    <row r="98" spans="1:6" ht="30" customHeight="1" x14ac:dyDescent="0.25">
      <c r="A98" s="9"/>
      <c r="B98" s="8" t="s">
        <v>132</v>
      </c>
      <c r="C98" s="113">
        <f>'01 -OPĆI'!C98+'02- KOMUNALNI'!C98+'03-SMEĆE'!C98+'04-H.G.I.'!C98+'05-IGRALIŠTA'!C98</f>
        <v>15210</v>
      </c>
      <c r="D98" s="113">
        <f>'01 -OPĆI'!D98+'02- KOMUNALNI'!D98+'03-SMEĆE'!D98+'04-PROMIDŽBA'!C98+'04-H.G.I.'!D98+'05-IGRALIŠTA'!D98+'08-PREFAKTURIRATI ALBANEŽ'!C98</f>
        <v>10533.07</v>
      </c>
      <c r="E98" s="208">
        <f t="shared" si="3"/>
        <v>0.69250953320184083</v>
      </c>
      <c r="F98" s="82">
        <f>'01 -OPĆI'!F98+'02- KOMUNALNI'!F98+'03-SMEĆE'!F98+'04-PROMIDŽBA'!E98+'04-H.G.I.'!F98+'05-IGRALIŠTA'!F98+'08-PREFAKTURIRATI ALBANEŽ'!E98</f>
        <v>10325</v>
      </c>
    </row>
    <row r="99" spans="1:6" s="52" customFormat="1" ht="30" customHeight="1" x14ac:dyDescent="0.25">
      <c r="A99" s="49" t="s">
        <v>9</v>
      </c>
      <c r="B99" s="50" t="s">
        <v>94</v>
      </c>
      <c r="C99" s="116">
        <f>C100</f>
        <v>6589030</v>
      </c>
      <c r="D99" s="116">
        <f>D100</f>
        <v>6603170.1000000006</v>
      </c>
      <c r="E99" s="204">
        <f t="shared" si="3"/>
        <v>1.0021460063165595</v>
      </c>
      <c r="F99" s="93">
        <f>F100</f>
        <v>5220000</v>
      </c>
    </row>
    <row r="100" spans="1:6" ht="30" customHeight="1" x14ac:dyDescent="0.25">
      <c r="A100" s="9" t="s">
        <v>1</v>
      </c>
      <c r="B100" s="8" t="s">
        <v>95</v>
      </c>
      <c r="C100" s="113">
        <f>'01 -OPĆI'!C100+'02- KOMUNALNI'!C100+'03-SMEĆE'!C100+'04-H.G.I.'!C100+'05-IGRALIŠTA'!C100</f>
        <v>6589030</v>
      </c>
      <c r="D100" s="113">
        <f>'01 -OPĆI'!D100+'02- KOMUNALNI'!D100+'03-SMEĆE'!D100+'04-PROMIDŽBA'!C100+'04-H.G.I.'!D100+'05-IGRALIŠTA'!D100+'08-PREFAKTURIRATI ALBANEŽ'!C100</f>
        <v>6603170.1000000006</v>
      </c>
      <c r="E100" s="208">
        <f t="shared" si="3"/>
        <v>1.0021460063165595</v>
      </c>
      <c r="F100" s="82">
        <f>'01 -OPĆI'!F100+'02- KOMUNALNI'!F100+'03-SMEĆE'!F100+'04-PROMIDŽBA'!E100+'04-H.G.I.'!F100+'05-IGRALIŠTA'!F100+'08-PREFAKTURIRATI ALBANEŽ'!E100</f>
        <v>5220000</v>
      </c>
    </row>
    <row r="101" spans="1:6" s="52" customFormat="1" ht="30" customHeight="1" x14ac:dyDescent="0.25">
      <c r="A101" s="49" t="s">
        <v>11</v>
      </c>
      <c r="B101" s="50" t="s">
        <v>96</v>
      </c>
      <c r="C101" s="116">
        <f>C102+C103+C104</f>
        <v>1854523</v>
      </c>
      <c r="D101" s="116">
        <f>D102+D103+D104</f>
        <v>1845457.0999999999</v>
      </c>
      <c r="E101" s="204">
        <f t="shared" si="3"/>
        <v>0.99511146532019279</v>
      </c>
      <c r="F101" s="93">
        <f>F102+F103+F104</f>
        <v>1453190</v>
      </c>
    </row>
    <row r="102" spans="1:6" ht="30" customHeight="1" x14ac:dyDescent="0.25">
      <c r="A102" s="9"/>
      <c r="B102" s="8" t="s">
        <v>97</v>
      </c>
      <c r="C102" s="113">
        <f>'01 -OPĆI'!C102+'02- KOMUNALNI'!C102+'03-SMEĆE'!C102+'04-H.G.I.'!C102+'05-IGRALIŠTA'!C102</f>
        <v>24936</v>
      </c>
      <c r="D102" s="113">
        <f>'01 -OPĆI'!D102+'02- KOMUNALNI'!D102+'03-SMEĆE'!D102+'04-PROMIDŽBA'!C102+'04-H.G.I.'!D102+'05-IGRALIŠTA'!D102+'08-PREFAKTURIRATI ALBANEŽ'!C102</f>
        <v>19817.490000000002</v>
      </c>
      <c r="E102" s="208">
        <f t="shared" si="3"/>
        <v>0.79473411934552463</v>
      </c>
      <c r="F102" s="82">
        <f>'01 -OPĆI'!F102+'02- KOMUNALNI'!F102+'03-SMEĆE'!F102+'04-PROMIDŽBA'!E102+'04-H.G.I.'!F102+'05-IGRALIŠTA'!F102+'08-PREFAKTURIRATI ALBANEŽ'!E102</f>
        <v>19090</v>
      </c>
    </row>
    <row r="103" spans="1:6" ht="30" customHeight="1" x14ac:dyDescent="0.25">
      <c r="A103" s="9"/>
      <c r="B103" s="8" t="s">
        <v>98</v>
      </c>
      <c r="C103" s="113">
        <f>'01 -OPĆI'!C103+'02- KOMUNALNI'!C103+'03-SMEĆE'!C103+'04-H.G.I.'!C103+'05-IGRALIŠTA'!C103</f>
        <v>1203888</v>
      </c>
      <c r="D103" s="113">
        <f>'01 -OPĆI'!D103+'02- KOMUNALNI'!D103+'03-SMEĆE'!D103+'04-PROMIDŽBA'!C103+'04-H.G.I.'!D103+'05-IGRALIŠTA'!D103+'08-PREFAKTURIRATI ALBANEŽ'!C103</f>
        <v>1182044.8899999999</v>
      </c>
      <c r="E103" s="208">
        <f t="shared" si="3"/>
        <v>0.98185619426391813</v>
      </c>
      <c r="F103" s="82">
        <f>'01 -OPĆI'!F103+'02- KOMUNALNI'!F103+'03-SMEĆE'!F103+'04-PROMIDŽBA'!E103+'04-H.G.I.'!F103+'05-IGRALIŠTA'!F103+'08-PREFAKTURIRATI ALBANEŽ'!E103</f>
        <v>912265</v>
      </c>
    </row>
    <row r="104" spans="1:6" ht="30" customHeight="1" x14ac:dyDescent="0.25">
      <c r="A104" s="9"/>
      <c r="B104" s="8" t="s">
        <v>99</v>
      </c>
      <c r="C104" s="113">
        <f>'01 -OPĆI'!C104+'02- KOMUNALNI'!C104+'03-SMEĆE'!C104+'04-H.G.I.'!C104+'05-IGRALIŠTA'!C104</f>
        <v>625699</v>
      </c>
      <c r="D104" s="113">
        <f>'01 -OPĆI'!D104+'02- KOMUNALNI'!D104+'03-SMEĆE'!D104+'04-PROMIDŽBA'!C104+'04-H.G.I.'!D104+'05-IGRALIŠTA'!D104+'08-PREFAKTURIRATI ALBANEŽ'!C104</f>
        <v>643594.72</v>
      </c>
      <c r="E104" s="208">
        <f t="shared" si="3"/>
        <v>1.0286011644576705</v>
      </c>
      <c r="F104" s="82">
        <f>'01 -OPĆI'!F104+'02- KOMUNALNI'!F104+'03-SMEĆE'!F104+'04-PROMIDŽBA'!E104+'04-H.G.I.'!F104+'05-IGRALIŠTA'!F104+'08-PREFAKTURIRATI ALBANEŽ'!E104</f>
        <v>521835</v>
      </c>
    </row>
    <row r="105" spans="1:6" s="52" customFormat="1" ht="30" customHeight="1" x14ac:dyDescent="0.25">
      <c r="A105" s="49" t="s">
        <v>15</v>
      </c>
      <c r="B105" s="50" t="s">
        <v>100</v>
      </c>
      <c r="C105" s="116">
        <f>C106</f>
        <v>0</v>
      </c>
      <c r="D105" s="116">
        <f>D106</f>
        <v>197242.49</v>
      </c>
      <c r="E105" s="204" t="e">
        <f t="shared" si="3"/>
        <v>#DIV/0!</v>
      </c>
      <c r="F105" s="93">
        <f>F106</f>
        <v>0</v>
      </c>
    </row>
    <row r="106" spans="1:6" ht="30" customHeight="1" x14ac:dyDescent="0.25">
      <c r="A106" s="39"/>
      <c r="B106" s="16" t="s">
        <v>101</v>
      </c>
      <c r="C106" s="113">
        <f>'01 -OPĆI'!C106+'02- KOMUNALNI'!C106+'03-SMEĆE'!C106+'04-H.G.I.'!C106+'05-IGRALIŠTA'!C106</f>
        <v>0</v>
      </c>
      <c r="D106" s="113">
        <f>'01 -OPĆI'!D106+'02- KOMUNALNI'!D106+'03-SMEĆE'!D106+'04-PROMIDŽBA'!C106+'04-H.G.I.'!D106+'05-IGRALIŠTA'!D106+'08-PREFAKTURIRATI ALBANEŽ'!C106</f>
        <v>197242.49</v>
      </c>
      <c r="E106" s="208" t="e">
        <f t="shared" si="3"/>
        <v>#DIV/0!</v>
      </c>
      <c r="F106" s="82">
        <f>'01 -OPĆI'!F106+'02- KOMUNALNI'!F106+'03-SMEĆE'!F106+'04-PROMIDŽBA'!E106+'04-H.G.I.'!F106+'05-IGRALIŠTA'!F106+'08-PREFAKTURIRATI ALBANEŽ'!E106</f>
        <v>0</v>
      </c>
    </row>
    <row r="107" spans="1:6" s="52" customFormat="1" ht="30" customHeight="1" x14ac:dyDescent="0.25">
      <c r="A107" s="49" t="s">
        <v>19</v>
      </c>
      <c r="B107" s="50" t="s">
        <v>148</v>
      </c>
      <c r="C107" s="116">
        <f>C108</f>
        <v>0</v>
      </c>
      <c r="D107" s="116">
        <f>D108</f>
        <v>0</v>
      </c>
      <c r="E107" s="204" t="e">
        <f t="shared" si="3"/>
        <v>#DIV/0!</v>
      </c>
      <c r="F107" s="93">
        <f t="shared" ref="E107:F107" si="4">F108</f>
        <v>0</v>
      </c>
    </row>
    <row r="108" spans="1:6" ht="30" customHeight="1" x14ac:dyDescent="0.25">
      <c r="A108" s="39"/>
      <c r="B108" s="16" t="s">
        <v>148</v>
      </c>
      <c r="C108" s="113">
        <f>'01 -OPĆI'!C108+'02- KOMUNALNI'!C108+'03-SMEĆE'!C108+'04-H.G.I.'!C108+'05-IGRALIŠTA'!C108</f>
        <v>0</v>
      </c>
      <c r="D108" s="113">
        <f>'01 -OPĆI'!D108+'02- KOMUNALNI'!D108+'03-SMEĆE'!D108+'04-H.G.I.'!D108+'05-IGRALIŠTA'!D108+'08-PREFAKTURIRATI ALBANEŽ'!C108+'04-PROMIDŽBA'!C108</f>
        <v>0</v>
      </c>
      <c r="E108" s="208"/>
      <c r="F108" s="82">
        <f>'01 -OPĆI'!F108+'02- KOMUNALNI'!F108+'03-SMEĆE'!F108+'04-H.G.I.'!F108+'05-IGRALIŠTA'!F108+'08-PREFAKTURIRATI ALBANEŽ'!E108+'04-PROMIDŽBA'!E108</f>
        <v>0</v>
      </c>
    </row>
    <row r="109" spans="1:6" s="52" customFormat="1" ht="30" customHeight="1" x14ac:dyDescent="0.25">
      <c r="A109" s="49" t="s">
        <v>21</v>
      </c>
      <c r="B109" s="50" t="s">
        <v>102</v>
      </c>
      <c r="C109" s="116">
        <f>C110+C111+C112+C113+C114+C115+C116+C117+C118+C119+C120+C121+C122+C123+C124+C125</f>
        <v>1616761</v>
      </c>
      <c r="D109" s="116">
        <f>D110+D111+D112+D113+D114+D115+D116+D117+D118+D119+D120+D121+D122+D123+D124+D125</f>
        <v>1668301.5799999998</v>
      </c>
      <c r="E109" s="204">
        <f t="shared" si="3"/>
        <v>1.0318789109831323</v>
      </c>
      <c r="F109" s="93">
        <f>F110+F111+F112+F113+F114+F115+F116+F117+F118+F119+F120+F121+F122+F123+F124+F125</f>
        <v>1012095</v>
      </c>
    </row>
    <row r="110" spans="1:6" ht="30" customHeight="1" x14ac:dyDescent="0.25">
      <c r="A110" s="9"/>
      <c r="B110" s="8" t="s">
        <v>103</v>
      </c>
      <c r="C110" s="113">
        <f>'01 -OPĆI'!C110+'02- KOMUNALNI'!C110+'03-SMEĆE'!C110+'04-H.G.I.'!C110+'05-IGRALIŠTA'!C110</f>
        <v>18000</v>
      </c>
      <c r="D110" s="113">
        <f>'01 -OPĆI'!D110+'02- KOMUNALNI'!D110+'03-SMEĆE'!D110+'04-PROMIDŽBA'!C110+'04-H.G.I.'!D110+'05-IGRALIŠTA'!D110+'08-PREFAKTURIRATI ALBANEŽ'!C110</f>
        <v>18796.88</v>
      </c>
      <c r="E110" s="208">
        <f t="shared" si="3"/>
        <v>1.0442711111111111</v>
      </c>
      <c r="F110" s="82">
        <f>'01 -OPĆI'!F110+'02- KOMUNALNI'!F110+'03-SMEĆE'!F110+'04-PROMIDŽBA'!E110+'04-H.G.I.'!F110+'05-IGRALIŠTA'!F110+'08-PREFAKTURIRATI ALBANEŽ'!E110</f>
        <v>20500</v>
      </c>
    </row>
    <row r="111" spans="1:6" ht="30" customHeight="1" x14ac:dyDescent="0.25">
      <c r="A111" s="9"/>
      <c r="B111" s="8" t="s">
        <v>104</v>
      </c>
      <c r="C111" s="113">
        <f>'01 -OPĆI'!C111+'02- KOMUNALNI'!C111+'03-SMEĆE'!C111+'04-H.G.I.'!C111+'05-IGRALIŠTA'!C111</f>
        <v>0</v>
      </c>
      <c r="D111" s="113">
        <f>'01 -OPĆI'!D111+'02- KOMUNALNI'!D111+'03-SMEĆE'!D111+'04-PROMIDŽBA'!C111+'04-H.G.I.'!D111+'05-IGRALIŠTA'!D111+'08-PREFAKTURIRATI ALBANEŽ'!C111</f>
        <v>2113.7800000000002</v>
      </c>
      <c r="E111" s="208" t="e">
        <f t="shared" si="3"/>
        <v>#DIV/0!</v>
      </c>
      <c r="F111" s="82">
        <f>'01 -OPĆI'!F111+'02- KOMUNALNI'!F111+'03-SMEĆE'!F111+'04-PROMIDŽBA'!E111+'04-H.G.I.'!F111+'05-IGRALIŠTA'!F111+'08-PREFAKTURIRATI ALBANEŽ'!E111</f>
        <v>0</v>
      </c>
    </row>
    <row r="112" spans="1:6" ht="30" customHeight="1" x14ac:dyDescent="0.25">
      <c r="A112" s="9"/>
      <c r="B112" s="8" t="s">
        <v>105</v>
      </c>
      <c r="C112" s="113">
        <f>'01 -OPĆI'!C112+'02- KOMUNALNI'!C112+'03-SMEĆE'!C112+'04-H.G.I.'!C112+'05-IGRALIŠTA'!C112</f>
        <v>222441</v>
      </c>
      <c r="D112" s="113">
        <f>'01 -OPĆI'!D112+'02- KOMUNALNI'!D112+'03-SMEĆE'!D112+'04-PROMIDŽBA'!C112+'04-H.G.I.'!D112+'05-IGRALIŠTA'!D112+'08-PREFAKTURIRATI ALBANEŽ'!C112</f>
        <v>222639.5</v>
      </c>
      <c r="E112" s="208">
        <f t="shared" si="3"/>
        <v>1.0008923714602973</v>
      </c>
      <c r="F112" s="82">
        <f>'01 -OPĆI'!F112+'02- KOMUNALNI'!F112+'03-SMEĆE'!F112+'04-PROMIDŽBA'!E112+'04-H.G.I.'!F112+'05-IGRALIŠTA'!F112+'08-PREFAKTURIRATI ALBANEŽ'!E112</f>
        <v>173060</v>
      </c>
    </row>
    <row r="113" spans="1:6" ht="30" customHeight="1" x14ac:dyDescent="0.25">
      <c r="A113" s="9" t="s">
        <v>1</v>
      </c>
      <c r="B113" s="8" t="s">
        <v>177</v>
      </c>
      <c r="C113" s="113">
        <f>'01 -OPĆI'!C113+'02- KOMUNALNI'!C113+'03-SMEĆE'!C113+'04-H.G.I.'!C113+'05-IGRALIŠTA'!C113</f>
        <v>782340</v>
      </c>
      <c r="D113" s="113">
        <f>'01 -OPĆI'!D113+'02- KOMUNALNI'!D113+'03-SMEĆE'!D113+'04-PROMIDŽBA'!C113+'04-H.G.I.'!D113+'05-IGRALIŠTA'!D113+'08-PREFAKTURIRATI ALBANEŽ'!C113</f>
        <v>826992.12</v>
      </c>
      <c r="E113" s="208">
        <f t="shared" si="3"/>
        <v>1.0570750824449728</v>
      </c>
      <c r="F113" s="82">
        <f>'01 -OPĆI'!F113+'02- KOMUNALNI'!F113+'03-SMEĆE'!F113+'04-PROMIDŽBA'!E113+'04-H.G.I.'!F113+'05-IGRALIŠTA'!F113+'08-PREFAKTURIRATI ALBANEŽ'!E113</f>
        <v>353300</v>
      </c>
    </row>
    <row r="114" spans="1:6" ht="30" customHeight="1" x14ac:dyDescent="0.25">
      <c r="A114" s="9"/>
      <c r="B114" s="8" t="s">
        <v>178</v>
      </c>
      <c r="C114" s="113">
        <f>'01 -OPĆI'!C114+'02- KOMUNALNI'!C114+'03-SMEĆE'!C114+'04-H.G.I.'!C114+'05-IGRALIŠTA'!C114</f>
        <v>69000</v>
      </c>
      <c r="D114" s="113">
        <f>'01 -OPĆI'!D114+'02- KOMUNALNI'!D114+'03-SMEĆE'!D114+'04-PROMIDŽBA'!C114+'04-H.G.I.'!D114+'05-IGRALIŠTA'!D114+'08-PREFAKTURIRATI ALBANEŽ'!C114</f>
        <v>65921.78</v>
      </c>
      <c r="E114" s="208">
        <f t="shared" si="3"/>
        <v>0.95538811594202899</v>
      </c>
      <c r="F114" s="82">
        <f>'01 -OPĆI'!F114+'02- KOMUNALNI'!F114+'03-SMEĆE'!F114+'04-PROMIDŽBA'!E114+'04-H.G.I.'!F114+'05-IGRALIŠTA'!F114+'08-PREFAKTURIRATI ALBANEŽ'!E114</f>
        <v>54620</v>
      </c>
    </row>
    <row r="115" spans="1:6" ht="30" customHeight="1" x14ac:dyDescent="0.25">
      <c r="A115" s="9"/>
      <c r="B115" s="8" t="s">
        <v>108</v>
      </c>
      <c r="C115" s="113">
        <f>'01 -OPĆI'!C115+'02- KOMUNALNI'!C115+'03-SMEĆE'!C115+'04-H.G.I.'!C115+'05-IGRALIŠTA'!C115</f>
        <v>321000</v>
      </c>
      <c r="D115" s="113">
        <f>'01 -OPĆI'!D115+'02- KOMUNALNI'!D115+'03-SMEĆE'!D115+'04-PROMIDŽBA'!C115+'04-H.G.I.'!D115+'05-IGRALIŠTA'!D115+'08-PREFAKTURIRATI ALBANEŽ'!C115</f>
        <v>288100.58999999997</v>
      </c>
      <c r="E115" s="208">
        <f t="shared" si="3"/>
        <v>0.89750962616822416</v>
      </c>
      <c r="F115" s="82">
        <f>'01 -OPĆI'!F115+'02- KOMUNALNI'!F115+'03-SMEĆE'!F115+'04-PROMIDŽBA'!E115+'04-H.G.I.'!F115+'05-IGRALIŠTA'!F115+'08-PREFAKTURIRATI ALBANEŽ'!E115</f>
        <v>250900</v>
      </c>
    </row>
    <row r="116" spans="1:6" ht="30" customHeight="1" x14ac:dyDescent="0.25">
      <c r="A116" s="9"/>
      <c r="B116" s="8" t="s">
        <v>109</v>
      </c>
      <c r="C116" s="113">
        <f>'01 -OPĆI'!C116+'02- KOMUNALNI'!C116+'03-SMEĆE'!C116+'04-H.G.I.'!C116+'05-IGRALIŠTA'!C116</f>
        <v>75000</v>
      </c>
      <c r="D116" s="113">
        <f>'01 -OPĆI'!D116+'02- KOMUNALNI'!D116+'03-SMEĆE'!D116+'04-PROMIDŽBA'!C116+'04-H.G.I.'!D116+'05-IGRALIŠTA'!D116+'08-PREFAKTURIRATI ALBANEŽ'!C116</f>
        <v>77848.899999999994</v>
      </c>
      <c r="E116" s="208">
        <f t="shared" si="3"/>
        <v>1.0379853333333333</v>
      </c>
      <c r="F116" s="82">
        <f>'01 -OPĆI'!F116+'02- KOMUNALNI'!F116+'03-SMEĆE'!F116+'04-PROMIDŽBA'!E116+'04-H.G.I.'!F116+'05-IGRALIŠTA'!F116+'08-PREFAKTURIRATI ALBANEŽ'!E116</f>
        <v>75070</v>
      </c>
    </row>
    <row r="117" spans="1:6" ht="30" customHeight="1" x14ac:dyDescent="0.25">
      <c r="A117" s="9"/>
      <c r="B117" s="8" t="s">
        <v>110</v>
      </c>
      <c r="C117" s="113">
        <f>'01 -OPĆI'!C117+'02- KOMUNALNI'!C117+'03-SMEĆE'!C117+'04-H.G.I.'!C117+'05-IGRALIŠTA'!C117</f>
        <v>1850</v>
      </c>
      <c r="D117" s="113">
        <f>'01 -OPĆI'!D117+'02- KOMUNALNI'!D117+'03-SMEĆE'!D117+'04-PROMIDŽBA'!C117+'04-H.G.I.'!D117+'05-IGRALIŠTA'!D117+'08-PREFAKTURIRATI ALBANEŽ'!C117</f>
        <v>1824</v>
      </c>
      <c r="E117" s="208">
        <f t="shared" si="3"/>
        <v>0.98594594594594598</v>
      </c>
      <c r="F117" s="82">
        <f>'01 -OPĆI'!F117+'02- KOMUNALNI'!F117+'03-SMEĆE'!F117+'04-PROMIDŽBA'!E117+'04-H.G.I.'!F117+'05-IGRALIŠTA'!F117+'08-PREFAKTURIRATI ALBANEŽ'!E117</f>
        <v>7050</v>
      </c>
    </row>
    <row r="118" spans="1:6" ht="30" customHeight="1" x14ac:dyDescent="0.25">
      <c r="A118" s="9"/>
      <c r="B118" s="8" t="s">
        <v>188</v>
      </c>
      <c r="C118" s="113">
        <f>'01 -OPĆI'!C118+'02- KOMUNALNI'!C118+'03-SMEĆE'!C118+'04-H.G.I.'!C118+'05-IGRALIŠTA'!C118</f>
        <v>0</v>
      </c>
      <c r="D118" s="113">
        <f>'01 -OPĆI'!D118+'02- KOMUNALNI'!D118+'03-SMEĆE'!D118+'04-PROMIDŽBA'!C118+'04-H.G.I.'!D118+'05-IGRALIŠTA'!D118+'08-PREFAKTURIRATI ALBANEŽ'!C118</f>
        <v>7981.7699999999995</v>
      </c>
      <c r="E118" s="208" t="e">
        <f t="shared" si="3"/>
        <v>#DIV/0!</v>
      </c>
      <c r="F118" s="82">
        <f>'01 -OPĆI'!F118+'02- KOMUNALNI'!F118+'03-SMEĆE'!F118+'04-PROMIDŽBA'!E118+'04-H.G.I.'!F118+'05-IGRALIŠTA'!F118+'08-PREFAKTURIRATI ALBANEŽ'!E118</f>
        <v>13800</v>
      </c>
    </row>
    <row r="119" spans="1:6" ht="30" customHeight="1" x14ac:dyDescent="0.25">
      <c r="A119" s="9"/>
      <c r="B119" s="8" t="s">
        <v>111</v>
      </c>
      <c r="C119" s="113">
        <f>'01 -OPĆI'!C119+'02- KOMUNALNI'!C119+'03-SMEĆE'!C119+'04-H.G.I.'!C119+'05-IGRALIŠTA'!C119</f>
        <v>21000</v>
      </c>
      <c r="D119" s="113">
        <f>'01 -OPĆI'!D119+'02- KOMUNALNI'!D119+'03-SMEĆE'!D119+'04-PROMIDŽBA'!C119+'04-H.G.I.'!D119+'05-IGRALIŠTA'!D119+'08-PREFAKTURIRATI ALBANEŽ'!C119</f>
        <v>26489.899999999998</v>
      </c>
      <c r="E119" s="208">
        <f t="shared" si="3"/>
        <v>1.2614238095238095</v>
      </c>
      <c r="F119" s="82">
        <f>'01 -OPĆI'!F119+'02- KOMUNALNI'!F119+'03-SMEĆE'!F119+'04-PROMIDŽBA'!E119+'04-H.G.I.'!F119+'05-IGRALIŠTA'!F119+'08-PREFAKTURIRATI ALBANEŽ'!E119</f>
        <v>0</v>
      </c>
    </row>
    <row r="120" spans="1:6" ht="30" customHeight="1" x14ac:dyDescent="0.25">
      <c r="A120" s="9"/>
      <c r="B120" s="8"/>
      <c r="C120" s="113">
        <f>'01 -OPĆI'!C120+'02- KOMUNALNI'!C120+'03-SMEĆE'!C120+'04-H.G.I.'!C120+'05-IGRALIŠTA'!C120</f>
        <v>0</v>
      </c>
      <c r="D120" s="113">
        <f>'01 -OPĆI'!D120+'02- KOMUNALNI'!D120+'03-SMEĆE'!D120+'04-PROMIDŽBA'!C120+'04-H.G.I.'!D120+'05-IGRALIŠTA'!D120+'08-PREFAKTURIRATI ALBANEŽ'!C120</f>
        <v>0</v>
      </c>
      <c r="E120" s="208"/>
      <c r="F120" s="82">
        <f>'01 -OPĆI'!F120+'02- KOMUNALNI'!F120+'03-SMEĆE'!F120+'04-PROMIDŽBA'!E120+'04-H.G.I.'!F120+'05-IGRALIŠTA'!F120+'08-PREFAKTURIRATI ALBANEŽ'!E120</f>
        <v>0</v>
      </c>
    </row>
    <row r="121" spans="1:6" ht="30" customHeight="1" x14ac:dyDescent="0.25">
      <c r="A121" s="9"/>
      <c r="B121" s="8" t="s">
        <v>130</v>
      </c>
      <c r="C121" s="113">
        <f>'01 -OPĆI'!C121+'02- KOMUNALNI'!C121+'03-SMEĆE'!C121+'04-H.G.I.'!C121+'05-IGRALIŠTA'!C121</f>
        <v>7680</v>
      </c>
      <c r="D121" s="113">
        <f>'01 -OPĆI'!D121+'02- KOMUNALNI'!D121+'03-SMEĆE'!D121+'04-PROMIDŽBA'!C121+'04-H.G.I.'!D121+'05-IGRALIŠTA'!D121+'08-PREFAKTURIRATI ALBANEŽ'!C121</f>
        <v>7680</v>
      </c>
      <c r="E121" s="208">
        <f t="shared" si="3"/>
        <v>1</v>
      </c>
      <c r="F121" s="82">
        <f>'01 -OPĆI'!F121+'02- KOMUNALNI'!F121+'03-SMEĆE'!F121+'04-PROMIDŽBA'!E121+'04-H.G.I.'!F121+'05-IGRALIŠTA'!F121+'08-PREFAKTURIRATI ALBANEŽ'!E121</f>
        <v>7680</v>
      </c>
    </row>
    <row r="122" spans="1:6" ht="30" customHeight="1" x14ac:dyDescent="0.25">
      <c r="A122" s="9"/>
      <c r="B122" s="8" t="s">
        <v>115</v>
      </c>
      <c r="C122" s="113">
        <f>'01 -OPĆI'!C122+'02- KOMUNALNI'!C122+'03-SMEĆE'!C122+'04-H.G.I.'!C122+'05-IGRALIŠTA'!C122</f>
        <v>14100</v>
      </c>
      <c r="D122" s="113">
        <f>'01 -OPĆI'!D122+'02- KOMUNALNI'!D122+'03-SMEĆE'!D122+'04-PROMIDŽBA'!C122+'04-H.G.I.'!D122+'05-IGRALIŠTA'!D122+'08-PREFAKTURIRATI ALBANEŽ'!C122</f>
        <v>23696.36</v>
      </c>
      <c r="E122" s="208">
        <f t="shared" si="3"/>
        <v>1.6805929078014186</v>
      </c>
      <c r="F122" s="82">
        <f>'01 -OPĆI'!F122+'02- KOMUNALNI'!F122+'03-SMEĆE'!F122+'04-PROMIDŽBA'!E122+'04-H.G.I.'!F122+'05-IGRALIŠTA'!F122+'08-PREFAKTURIRATI ALBANEŽ'!E122</f>
        <v>21000</v>
      </c>
    </row>
    <row r="123" spans="1:6" ht="30" customHeight="1" x14ac:dyDescent="0.25">
      <c r="A123" s="9"/>
      <c r="B123" s="8" t="s">
        <v>116</v>
      </c>
      <c r="C123" s="113">
        <f>'01 -OPĆI'!C123+'02- KOMUNALNI'!C123+'03-SMEĆE'!C123+'04-H.G.I.'!C123+'05-IGRALIŠTA'!C123</f>
        <v>12850</v>
      </c>
      <c r="D123" s="113">
        <f>'01 -OPĆI'!D123+'02- KOMUNALNI'!D123+'03-SMEĆE'!D123+'04-PROMIDŽBA'!C123+'04-H.G.I.'!D123+'05-IGRALIŠTA'!D123+'08-PREFAKTURIRATI ALBANEŽ'!C123</f>
        <v>15115</v>
      </c>
      <c r="E123" s="208">
        <f t="shared" si="3"/>
        <v>1.1762645914396888</v>
      </c>
      <c r="F123" s="82">
        <f>'01 -OPĆI'!F123+'02- KOMUNALNI'!F123+'03-SMEĆE'!F123+'04-PROMIDŽBA'!E123+'04-H.G.I.'!F123+'05-IGRALIŠTA'!F123+'08-PREFAKTURIRATI ALBANEŽ'!E123</f>
        <v>1715</v>
      </c>
    </row>
    <row r="124" spans="1:6" ht="30" customHeight="1" x14ac:dyDescent="0.25">
      <c r="A124" s="9"/>
      <c r="B124" s="8" t="s">
        <v>117</v>
      </c>
      <c r="C124" s="113">
        <f>'01 -OPĆI'!C124+'02- KOMUNALNI'!C124+'03-SMEĆE'!C124+'04-H.G.I.'!C124+'05-IGRALIŠTA'!C124</f>
        <v>2500</v>
      </c>
      <c r="D124" s="113">
        <f>'01 -OPĆI'!D124+'02- KOMUNALNI'!D124+'03-SMEĆE'!D124+'04-PROMIDŽBA'!C124+'04-H.G.I.'!D124+'05-IGRALIŠTA'!D124+'08-PREFAKTURIRATI ALBANEŽ'!C124</f>
        <v>2500</v>
      </c>
      <c r="E124" s="208">
        <f t="shared" si="3"/>
        <v>1</v>
      </c>
      <c r="F124" s="82">
        <f>'01 -OPĆI'!F124+'02- KOMUNALNI'!F124+'03-SMEĆE'!F124+'04-PROMIDŽBA'!E124+'04-H.G.I.'!F124+'05-IGRALIŠTA'!F124+'08-PREFAKTURIRATI ALBANEŽ'!E124</f>
        <v>4700</v>
      </c>
    </row>
    <row r="125" spans="1:6" ht="30" customHeight="1" x14ac:dyDescent="0.25">
      <c r="A125" s="9"/>
      <c r="B125" s="8" t="s">
        <v>118</v>
      </c>
      <c r="C125" s="113">
        <f>'01 -OPĆI'!C125+'02- KOMUNALNI'!C125+'03-SMEĆE'!C125+'04-H.G.I.'!C125+'05-IGRALIŠTA'!C125</f>
        <v>69000</v>
      </c>
      <c r="D125" s="113">
        <f>'01 -OPĆI'!D125+'02- KOMUNALNI'!D125+'03-SMEĆE'!D125+'04-PROMIDŽBA'!C125+'04-H.G.I.'!D125+'05-IGRALIŠTA'!D125+'08-PREFAKTURIRATI ALBANEŽ'!C125</f>
        <v>80601</v>
      </c>
      <c r="E125" s="208">
        <f t="shared" si="3"/>
        <v>1.1681304347826087</v>
      </c>
      <c r="F125" s="82">
        <f>'01 -OPĆI'!F125+'02- KOMUNALNI'!F125+'03-SMEĆE'!F125+'04-PROMIDŽBA'!E125+'04-H.G.I.'!F125+'05-IGRALIŠTA'!F125+'08-PREFAKTURIRATI ALBANEŽ'!E125</f>
        <v>28700</v>
      </c>
    </row>
    <row r="126" spans="1:6" s="52" customFormat="1" ht="30" customHeight="1" x14ac:dyDescent="0.25">
      <c r="A126" s="54" t="s">
        <v>23</v>
      </c>
      <c r="B126" s="55" t="s">
        <v>119</v>
      </c>
      <c r="C126" s="117">
        <f>C127+C128</f>
        <v>140492</v>
      </c>
      <c r="D126" s="117">
        <f>D127+D128</f>
        <v>143243.40999999997</v>
      </c>
      <c r="E126" s="204">
        <f t="shared" si="3"/>
        <v>1.0195841044329925</v>
      </c>
      <c r="F126" s="94">
        <f>F127+F128</f>
        <v>83935</v>
      </c>
    </row>
    <row r="127" spans="1:6" ht="30" customHeight="1" x14ac:dyDescent="0.25">
      <c r="A127" s="9"/>
      <c r="B127" s="8" t="s">
        <v>120</v>
      </c>
      <c r="C127" s="113">
        <f>'01 -OPĆI'!C127+'02- KOMUNALNI'!C127+'03-SMEĆE'!C127+'04-H.G.I.'!C127+'05-IGRALIŠTA'!C127</f>
        <v>11100</v>
      </c>
      <c r="D127" s="113">
        <f>'01 -OPĆI'!D127+'02- KOMUNALNI'!D127+'03-SMEĆE'!D127+'04-PROMIDŽBA'!C127+'04-H.G.I.'!D127+'05-IGRALIŠTA'!D127+'08-PREFAKTURIRATI ALBANEŽ'!C127</f>
        <v>15107.61</v>
      </c>
      <c r="E127" s="208">
        <f t="shared" si="3"/>
        <v>1.3610459459459461</v>
      </c>
      <c r="F127" s="82">
        <f>'01 -OPĆI'!F127+'02- KOMUNALNI'!F127+'03-SMEĆE'!F127+'04-PROMIDŽBA'!E127+'04-H.G.I.'!F127+'05-IGRALIŠTA'!F127+'08-PREFAKTURIRATI ALBANEŽ'!E127</f>
        <v>5</v>
      </c>
    </row>
    <row r="128" spans="1:6" ht="30" customHeight="1" x14ac:dyDescent="0.25">
      <c r="A128" s="9"/>
      <c r="B128" s="8" t="s">
        <v>179</v>
      </c>
      <c r="C128" s="113">
        <f>'01 -OPĆI'!C128+'02- KOMUNALNI'!C128+'03-SMEĆE'!C128+'04-H.G.I.'!C128+'05-IGRALIŠTA'!C128</f>
        <v>129392</v>
      </c>
      <c r="D128" s="113">
        <f>'01 -OPĆI'!D128+'02- KOMUNALNI'!D128+'03-SMEĆE'!D128+'04-PROMIDŽBA'!C128+'04-H.G.I.'!D128+'05-IGRALIŠTA'!D128+'08-PREFAKTURIRATI ALBANEŽ'!C128</f>
        <v>128135.79999999999</v>
      </c>
      <c r="E128" s="208">
        <f t="shared" si="3"/>
        <v>0.99029151724990716</v>
      </c>
      <c r="F128" s="82">
        <f>'01 -OPĆI'!F128+'02- KOMUNALNI'!F128+'03-SMEĆE'!F128+'04-PROMIDŽBA'!E128+'04-H.G.I.'!F128+'05-IGRALIŠTA'!F128+'08-PREFAKTURIRATI ALBANEŽ'!E128</f>
        <v>83930</v>
      </c>
    </row>
    <row r="129" spans="1:6" s="52" customFormat="1" ht="30" customHeight="1" x14ac:dyDescent="0.25">
      <c r="A129" s="54" t="s">
        <v>25</v>
      </c>
      <c r="B129" s="55" t="s">
        <v>122</v>
      </c>
      <c r="C129" s="117">
        <f>C130+C131+C132+C133</f>
        <v>183815</v>
      </c>
      <c r="D129" s="117">
        <f>D130+D131+D132+D133</f>
        <v>40174.879999999997</v>
      </c>
      <c r="E129" s="204">
        <f t="shared" si="3"/>
        <v>0.2185614884530642</v>
      </c>
      <c r="F129" s="94">
        <f>F130+F131+F132+F133</f>
        <v>76000</v>
      </c>
    </row>
    <row r="130" spans="1:6" s="43" customFormat="1" ht="30" customHeight="1" x14ac:dyDescent="0.25">
      <c r="A130" s="44"/>
      <c r="B130" s="18" t="s">
        <v>123</v>
      </c>
      <c r="C130" s="113">
        <f>'01 -OPĆI'!C130+'02- KOMUNALNI'!C130+'03-SMEĆE'!C130+'04-H.G.I.'!C130+'05-IGRALIŠTA'!C130</f>
        <v>50830</v>
      </c>
      <c r="D130" s="113">
        <f>'01 -OPĆI'!D130+'02- KOMUNALNI'!D130+'03-SMEĆE'!D130+'04-PROMIDŽBA'!C130+'04-H.G.I.'!D130+'05-IGRALIŠTA'!D130+'08-PREFAKTURIRATI ALBANEŽ'!C130</f>
        <v>11113.54</v>
      </c>
      <c r="E130" s="208">
        <f t="shared" si="3"/>
        <v>0.21864135353137912</v>
      </c>
      <c r="F130" s="82">
        <f>'01 -OPĆI'!F130+'02- KOMUNALNI'!F130+'03-SMEĆE'!F130+'04-PROMIDŽBA'!E130+'04-H.G.I.'!F130+'05-IGRALIŠTA'!F130+'08-PREFAKTURIRATI ALBANEŽ'!E130</f>
        <v>70000</v>
      </c>
    </row>
    <row r="131" spans="1:6" ht="51" customHeight="1" x14ac:dyDescent="0.25">
      <c r="A131" s="9"/>
      <c r="B131" s="8" t="s">
        <v>124</v>
      </c>
      <c r="C131" s="113">
        <f>'01 -OPĆI'!C131+'02- KOMUNALNI'!C131+'03-SMEĆE'!C131+'04-H.G.I.'!C131+'05-IGRALIŠTA'!C131</f>
        <v>30000</v>
      </c>
      <c r="D131" s="113">
        <f>'01 -OPĆI'!D131+'02- KOMUNALNI'!D131+'03-SMEĆE'!D131+'04-PROMIDŽBA'!C131+'04-H.G.I.'!D131+'05-IGRALIŠTA'!D131+'08-PREFAKTURIRATI ALBANEŽ'!C131</f>
        <v>7077.1600000000008</v>
      </c>
      <c r="E131" s="208">
        <f t="shared" si="3"/>
        <v>0.23590533333333336</v>
      </c>
      <c r="F131" s="82">
        <f>'01 -OPĆI'!F131+'02- KOMUNALNI'!F131+'03-SMEĆE'!F131+'04-PROMIDŽBA'!E131+'04-H.G.I.'!F131+'05-IGRALIŠTA'!F131+'08-PREFAKTURIRATI ALBANEŽ'!E131</f>
        <v>0</v>
      </c>
    </row>
    <row r="132" spans="1:6" ht="30" customHeight="1" x14ac:dyDescent="0.25">
      <c r="A132" s="9"/>
      <c r="B132" s="8" t="s">
        <v>125</v>
      </c>
      <c r="C132" s="113">
        <f>'01 -OPĆI'!C132+'02- KOMUNALNI'!C132+'03-SMEĆE'!C132+'04-H.G.I.'!C132+'05-IGRALIŠTA'!C132</f>
        <v>0</v>
      </c>
      <c r="D132" s="113">
        <f>'01 -OPĆI'!D132+'02- KOMUNALNI'!D132+'03-SMEĆE'!D132+'04-PROMIDŽBA'!C132+'04-H.G.I.'!D132+'05-IGRALIŠTA'!D132+'08-PREFAKTURIRATI ALBANEŽ'!C132</f>
        <v>19000</v>
      </c>
      <c r="E132" s="208" t="e">
        <f t="shared" si="3"/>
        <v>#DIV/0!</v>
      </c>
      <c r="F132" s="82">
        <f>'01 -OPĆI'!F132+'02- KOMUNALNI'!F132+'03-SMEĆE'!F132+'04-PROMIDŽBA'!E132+'04-H.G.I.'!F132+'05-IGRALIŠTA'!F132+'08-PREFAKTURIRATI ALBANEŽ'!E132</f>
        <v>4000</v>
      </c>
    </row>
    <row r="133" spans="1:6" ht="30" customHeight="1" x14ac:dyDescent="0.25">
      <c r="A133" s="9"/>
      <c r="B133" s="8" t="s">
        <v>126</v>
      </c>
      <c r="C133" s="113">
        <f>'01 -OPĆI'!C133+'02- KOMUNALNI'!C133+'03-SMEĆE'!C133+'04-H.G.I.'!C133+'05-IGRALIŠTA'!C133</f>
        <v>102985</v>
      </c>
      <c r="D133" s="113">
        <f>'01 -OPĆI'!D133+'02- KOMUNALNI'!D133+'03-SMEĆE'!D133+'04-PROMIDŽBA'!C133+'04-H.G.I.'!D133+'05-IGRALIŠTA'!D133+'08-PREFAKTURIRATI ALBANEŽ'!C133</f>
        <v>2984.18</v>
      </c>
      <c r="E133" s="208">
        <f t="shared" si="3"/>
        <v>2.8976841287566148E-2</v>
      </c>
      <c r="F133" s="82">
        <f>'01 -OPĆI'!F133+'02- KOMUNALNI'!F133+'03-SMEĆE'!F133+'04-PROMIDŽBA'!E133+'04-H.G.I.'!F133+'05-IGRALIŠTA'!F133+'08-PREFAKTURIRATI ALBANEŽ'!E133</f>
        <v>2000</v>
      </c>
    </row>
    <row r="134" spans="1:6" s="53" customFormat="1" ht="30" customHeight="1" x14ac:dyDescent="0.25">
      <c r="A134" s="190" t="s">
        <v>27</v>
      </c>
      <c r="B134" s="191" t="s">
        <v>128</v>
      </c>
      <c r="C134" s="118">
        <f t="shared" ref="C134" si="5">C9-C29</f>
        <v>1375529</v>
      </c>
      <c r="D134" s="118">
        <f t="shared" ref="D134:E134" si="6">D9-D29</f>
        <v>1564038.5000000075</v>
      </c>
      <c r="E134" s="204">
        <f t="shared" si="3"/>
        <v>1.1370450931968774</v>
      </c>
      <c r="F134" s="95">
        <f t="shared" ref="F134" si="7">F9-F29</f>
        <v>-1124100</v>
      </c>
    </row>
    <row r="135" spans="1:6" x14ac:dyDescent="0.25">
      <c r="A135" s="192"/>
      <c r="B135" s="79"/>
      <c r="C135" s="77"/>
      <c r="D135" s="77"/>
      <c r="E135" s="77"/>
    </row>
    <row r="136" spans="1:6" x14ac:dyDescent="0.25">
      <c r="A136" s="192"/>
      <c r="B136" s="79"/>
      <c r="C136" s="77"/>
      <c r="D136" s="77"/>
      <c r="E136" s="77"/>
    </row>
  </sheetData>
  <mergeCells count="14">
    <mergeCell ref="H55:J55"/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4"/>
  <sheetViews>
    <sheetView workbookViewId="0">
      <selection activeCell="E6" sqref="E6:E8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77" customWidth="1"/>
    <col min="5" max="5" width="19.42578125" style="205" customWidth="1"/>
    <col min="6" max="6" width="19.42578125" style="96" hidden="1" customWidth="1"/>
    <col min="7" max="7" width="17.140625" style="27" customWidth="1"/>
    <col min="8" max="8" width="18.7109375" style="27" customWidth="1"/>
    <col min="9" max="9" width="9.140625" style="27"/>
    <col min="10" max="10" width="14.85546875" style="27" bestFit="1" customWidth="1"/>
    <col min="11" max="16384" width="9.140625" style="27"/>
  </cols>
  <sheetData>
    <row r="1" spans="1:11" x14ac:dyDescent="0.25">
      <c r="A1" s="61"/>
      <c r="B1" s="62"/>
      <c r="C1" s="63"/>
      <c r="D1" s="63"/>
      <c r="E1" s="193"/>
      <c r="F1" s="86"/>
    </row>
    <row r="2" spans="1:11" x14ac:dyDescent="0.25">
      <c r="A2" s="64"/>
      <c r="B2" s="14" t="s">
        <v>0</v>
      </c>
      <c r="C2" s="99"/>
      <c r="D2" s="99"/>
      <c r="E2" s="194"/>
      <c r="F2" s="103"/>
    </row>
    <row r="3" spans="1:11" s="47" customFormat="1" ht="15.75" x14ac:dyDescent="0.25">
      <c r="A3" s="1" t="s">
        <v>1</v>
      </c>
      <c r="B3" s="81" t="s">
        <v>200</v>
      </c>
      <c r="C3" s="25"/>
      <c r="D3" s="25"/>
      <c r="E3" s="195"/>
      <c r="F3" s="88"/>
    </row>
    <row r="4" spans="1:11" ht="15.75" x14ac:dyDescent="0.25">
      <c r="A4" s="66"/>
      <c r="B4" s="159" t="s">
        <v>201</v>
      </c>
      <c r="C4" s="159"/>
      <c r="D4" s="159"/>
      <c r="E4" s="159"/>
    </row>
    <row r="5" spans="1:11" ht="15.75" x14ac:dyDescent="0.25">
      <c r="A5" s="32"/>
      <c r="B5" s="30"/>
      <c r="C5" s="31"/>
      <c r="D5" s="31"/>
      <c r="E5" s="196"/>
      <c r="F5" s="86"/>
    </row>
    <row r="6" spans="1:11" s="28" customFormat="1" ht="15" customHeight="1" x14ac:dyDescent="0.25">
      <c r="A6" s="179" t="s">
        <v>1</v>
      </c>
      <c r="B6" s="182" t="s">
        <v>2</v>
      </c>
      <c r="C6" s="166" t="s">
        <v>162</v>
      </c>
      <c r="D6" s="166" t="s">
        <v>171</v>
      </c>
      <c r="E6" s="197" t="s">
        <v>199</v>
      </c>
      <c r="F6" s="169" t="s">
        <v>154</v>
      </c>
    </row>
    <row r="7" spans="1:11" s="28" customFormat="1" ht="15" customHeight="1" x14ac:dyDescent="0.25">
      <c r="A7" s="180"/>
      <c r="B7" s="183"/>
      <c r="C7" s="167"/>
      <c r="D7" s="167"/>
      <c r="E7" s="198"/>
      <c r="F7" s="170"/>
    </row>
    <row r="8" spans="1:11" s="28" customFormat="1" ht="43.5" customHeight="1" x14ac:dyDescent="0.25">
      <c r="A8" s="181"/>
      <c r="B8" s="184"/>
      <c r="C8" s="168"/>
      <c r="D8" s="168"/>
      <c r="E8" s="199"/>
      <c r="F8" s="171"/>
    </row>
    <row r="9" spans="1:11" s="28" customFormat="1" ht="30" customHeight="1" x14ac:dyDescent="0.25">
      <c r="A9" s="59" t="s">
        <v>3</v>
      </c>
      <c r="B9" s="60" t="s">
        <v>4</v>
      </c>
      <c r="C9" s="112">
        <f>C10+C11+C12+C13+C14+C15+C16+C17+C18+C19+C20+C21+C22+C23+C24+C25</f>
        <v>430009</v>
      </c>
      <c r="D9" s="112">
        <f>D10+D11+D12+D13+D14+D15+D16+D17+D18+D19+D20+D21+D22+D23+D24+D25</f>
        <v>292224.83999999997</v>
      </c>
      <c r="E9" s="200">
        <f>D9/C9</f>
        <v>0.67957842742826302</v>
      </c>
      <c r="F9" s="104">
        <f>F10+F11+F12+F13+F14+F15+F16+F17+F18+F19+F20+F21+F22+F23+F24+F25</f>
        <v>529400</v>
      </c>
      <c r="H9" s="130"/>
    </row>
    <row r="10" spans="1:11" ht="30" customHeight="1" x14ac:dyDescent="0.25">
      <c r="A10" s="35" t="s">
        <v>5</v>
      </c>
      <c r="B10" s="16" t="s">
        <v>6</v>
      </c>
      <c r="C10" s="113">
        <v>241107</v>
      </c>
      <c r="D10" s="113">
        <v>239166.07999999999</v>
      </c>
      <c r="E10" s="207">
        <f t="shared" ref="E10:E25" si="0">D10/C10</f>
        <v>0.9919499641238122</v>
      </c>
      <c r="F10" s="82">
        <v>520500</v>
      </c>
      <c r="H10" s="178"/>
      <c r="I10" s="149"/>
      <c r="J10" s="149"/>
      <c r="K10" s="149"/>
    </row>
    <row r="11" spans="1:11" ht="30" customHeight="1" x14ac:dyDescent="0.25">
      <c r="A11" s="35" t="s">
        <v>7</v>
      </c>
      <c r="B11" s="8" t="s">
        <v>8</v>
      </c>
      <c r="C11" s="113">
        <v>0</v>
      </c>
      <c r="D11" s="113"/>
      <c r="E11" s="207"/>
      <c r="F11" s="82"/>
      <c r="H11" s="178"/>
    </row>
    <row r="12" spans="1:11" ht="30" customHeight="1" x14ac:dyDescent="0.25">
      <c r="A12" s="35" t="s">
        <v>9</v>
      </c>
      <c r="B12" s="8" t="s">
        <v>10</v>
      </c>
      <c r="C12" s="113">
        <v>0</v>
      </c>
      <c r="D12" s="113"/>
      <c r="E12" s="207"/>
      <c r="F12" s="82"/>
      <c r="H12" s="6"/>
      <c r="I12" s="206"/>
    </row>
    <row r="13" spans="1:11" ht="30" customHeight="1" x14ac:dyDescent="0.25">
      <c r="A13" s="35" t="s">
        <v>11</v>
      </c>
      <c r="B13" s="8" t="s">
        <v>192</v>
      </c>
      <c r="C13" s="113">
        <v>0</v>
      </c>
      <c r="D13" s="113"/>
      <c r="E13" s="207"/>
      <c r="F13" s="82"/>
    </row>
    <row r="14" spans="1:11" ht="30" customHeight="1" x14ac:dyDescent="0.25">
      <c r="A14" s="35" t="s">
        <v>15</v>
      </c>
      <c r="B14" s="8" t="s">
        <v>193</v>
      </c>
      <c r="C14" s="113">
        <v>0</v>
      </c>
      <c r="D14" s="113"/>
      <c r="E14" s="207"/>
      <c r="F14" s="82"/>
    </row>
    <row r="15" spans="1:11" ht="30" customHeight="1" x14ac:dyDescent="0.25">
      <c r="A15" s="35" t="s">
        <v>19</v>
      </c>
      <c r="B15" s="8" t="s">
        <v>194</v>
      </c>
      <c r="C15" s="113">
        <v>0</v>
      </c>
      <c r="D15" s="113"/>
      <c r="E15" s="207"/>
      <c r="F15" s="82"/>
    </row>
    <row r="16" spans="1:11" ht="30" customHeight="1" x14ac:dyDescent="0.25">
      <c r="A16" s="35" t="s">
        <v>21</v>
      </c>
      <c r="B16" s="8" t="s">
        <v>16</v>
      </c>
      <c r="C16" s="113">
        <v>0</v>
      </c>
      <c r="D16" s="113"/>
      <c r="E16" s="207"/>
      <c r="F16" s="82"/>
    </row>
    <row r="17" spans="1:8" ht="30" customHeight="1" x14ac:dyDescent="0.25">
      <c r="A17" s="35" t="s">
        <v>23</v>
      </c>
      <c r="B17" s="8" t="s">
        <v>191</v>
      </c>
      <c r="C17" s="113">
        <v>0</v>
      </c>
      <c r="D17" s="113"/>
      <c r="E17" s="207"/>
      <c r="F17" s="82"/>
    </row>
    <row r="18" spans="1:8" ht="30" customHeight="1" x14ac:dyDescent="0.25">
      <c r="A18" s="35" t="s">
        <v>25</v>
      </c>
      <c r="B18" s="8" t="s">
        <v>195</v>
      </c>
      <c r="C18" s="113">
        <v>0</v>
      </c>
      <c r="D18" s="113"/>
      <c r="E18" s="207"/>
      <c r="F18" s="82"/>
    </row>
    <row r="19" spans="1:8" ht="30" customHeight="1" x14ac:dyDescent="0.25">
      <c r="A19" s="35" t="s">
        <v>27</v>
      </c>
      <c r="B19" s="8"/>
      <c r="C19" s="113">
        <v>0</v>
      </c>
      <c r="D19" s="113"/>
      <c r="E19" s="207"/>
      <c r="F19" s="82"/>
    </row>
    <row r="20" spans="1:8" ht="30" customHeight="1" x14ac:dyDescent="0.25">
      <c r="A20" s="35" t="s">
        <v>29</v>
      </c>
      <c r="B20" s="8" t="s">
        <v>30</v>
      </c>
      <c r="C20" s="113">
        <v>472</v>
      </c>
      <c r="D20" s="113">
        <f>948.7+57.71</f>
        <v>1006.4100000000001</v>
      </c>
      <c r="E20" s="207">
        <f t="shared" si="0"/>
        <v>2.1322245762711867</v>
      </c>
      <c r="F20" s="82"/>
    </row>
    <row r="21" spans="1:8" ht="30" customHeight="1" x14ac:dyDescent="0.25">
      <c r="A21" s="35" t="s">
        <v>31</v>
      </c>
      <c r="B21" s="8" t="s">
        <v>196</v>
      </c>
      <c r="C21" s="113">
        <v>0</v>
      </c>
      <c r="D21" s="113">
        <v>45563.24</v>
      </c>
      <c r="E21" s="207" t="e">
        <f t="shared" si="0"/>
        <v>#DIV/0!</v>
      </c>
      <c r="F21" s="82"/>
    </row>
    <row r="22" spans="1:8" ht="30" customHeight="1" x14ac:dyDescent="0.25">
      <c r="A22" s="35" t="s">
        <v>33</v>
      </c>
      <c r="B22" s="8" t="s">
        <v>197</v>
      </c>
      <c r="C22" s="114"/>
      <c r="D22" s="113"/>
      <c r="E22" s="207"/>
      <c r="F22" s="105">
        <v>900</v>
      </c>
    </row>
    <row r="23" spans="1:8" ht="30" customHeight="1" x14ac:dyDescent="0.25">
      <c r="A23" s="35" t="s">
        <v>35</v>
      </c>
      <c r="B23" s="8" t="s">
        <v>32</v>
      </c>
      <c r="C23" s="114">
        <v>180000</v>
      </c>
      <c r="D23" s="113">
        <v>366.61</v>
      </c>
      <c r="E23" s="207">
        <f t="shared" si="0"/>
        <v>2.0367222222222223E-3</v>
      </c>
      <c r="F23" s="105">
        <v>8000</v>
      </c>
    </row>
    <row r="24" spans="1:8" ht="30" customHeight="1" x14ac:dyDescent="0.25">
      <c r="A24" s="35" t="s">
        <v>189</v>
      </c>
      <c r="B24" s="8" t="s">
        <v>34</v>
      </c>
      <c r="C24" s="114">
        <v>8430</v>
      </c>
      <c r="D24" s="113">
        <v>6122.5</v>
      </c>
      <c r="E24" s="207">
        <f t="shared" si="0"/>
        <v>0.72627520759193354</v>
      </c>
      <c r="F24" s="105">
        <v>0</v>
      </c>
    </row>
    <row r="25" spans="1:8" s="77" customFormat="1" ht="30" customHeight="1" x14ac:dyDescent="0.25">
      <c r="A25" s="35" t="s">
        <v>190</v>
      </c>
      <c r="B25" s="8" t="s">
        <v>36</v>
      </c>
      <c r="C25" s="114">
        <v>0</v>
      </c>
      <c r="D25" s="113"/>
      <c r="E25" s="207"/>
      <c r="F25" s="105"/>
    </row>
    <row r="26" spans="1:8" s="58" customFormat="1" ht="30" customHeight="1" x14ac:dyDescent="0.25">
      <c r="A26" s="185" t="s">
        <v>1</v>
      </c>
      <c r="B26" s="186" t="s">
        <v>37</v>
      </c>
      <c r="C26" s="166" t="s">
        <v>162</v>
      </c>
      <c r="D26" s="166" t="s">
        <v>171</v>
      </c>
      <c r="E26" s="197" t="s">
        <v>199</v>
      </c>
      <c r="F26" s="169" t="s">
        <v>154</v>
      </c>
    </row>
    <row r="27" spans="1:8" s="58" customFormat="1" ht="46.5" customHeight="1" x14ac:dyDescent="0.25">
      <c r="A27" s="185"/>
      <c r="B27" s="186"/>
      <c r="C27" s="167"/>
      <c r="D27" s="167"/>
      <c r="E27" s="198"/>
      <c r="F27" s="170"/>
    </row>
    <row r="28" spans="1:8" s="58" customFormat="1" ht="30" hidden="1" customHeight="1" x14ac:dyDescent="0.25">
      <c r="A28" s="185"/>
      <c r="B28" s="186"/>
      <c r="C28" s="168"/>
      <c r="D28" s="168"/>
      <c r="E28" s="199"/>
      <c r="F28" s="171"/>
    </row>
    <row r="29" spans="1:8" s="58" customFormat="1" ht="30" customHeight="1" x14ac:dyDescent="0.25">
      <c r="A29" s="69" t="s">
        <v>38</v>
      </c>
      <c r="B29" s="60" t="s">
        <v>39</v>
      </c>
      <c r="C29" s="115">
        <f>C31+C48+C99+C101+C105+C109+C126+C129+C107</f>
        <v>2559775</v>
      </c>
      <c r="D29" s="115">
        <f>D31+D48+D99+D101+D105+D109+D126+D129+D107</f>
        <v>2407888.4399999995</v>
      </c>
      <c r="E29" s="202">
        <f>D29/C29</f>
        <v>0.940664097430438</v>
      </c>
      <c r="F29" s="106">
        <f t="shared" ref="E29:F29" si="1">F31+F48+F99+F101+F105+F109+F126+F129+F107</f>
        <v>2470635</v>
      </c>
      <c r="H29" s="134"/>
    </row>
    <row r="30" spans="1:8" ht="30" customHeight="1" x14ac:dyDescent="0.25">
      <c r="A30" s="39"/>
      <c r="B30" s="40"/>
      <c r="C30" s="113"/>
      <c r="D30" s="113"/>
      <c r="E30" s="203"/>
      <c r="F30" s="107"/>
    </row>
    <row r="31" spans="1:8" s="67" customFormat="1" ht="30" customHeight="1" x14ac:dyDescent="0.25">
      <c r="A31" s="49" t="s">
        <v>5</v>
      </c>
      <c r="B31" s="50" t="s">
        <v>40</v>
      </c>
      <c r="C31" s="116">
        <f>C32+C33+C34+C35+C36+C37+C38+C39+C40+C41+C42+C43+C44+C45+C46+C47</f>
        <v>156819</v>
      </c>
      <c r="D31" s="116">
        <f>D32+D33+D34+D35+D36+D37+D38+D39+D40+D41+D42+D43+D44+D45+D46+D47</f>
        <v>176064.49</v>
      </c>
      <c r="E31" s="204">
        <f>D31/C31</f>
        <v>1.1227242234678196</v>
      </c>
      <c r="F31" s="93">
        <f t="shared" ref="E31:F31" si="2">F32+F33+F34+F35+F36+F37+F38+F39+F40+F41+F42+F43+F44+F45+F46+F47</f>
        <v>144700</v>
      </c>
      <c r="H31" s="129"/>
    </row>
    <row r="32" spans="1:8" s="46" customFormat="1" ht="30" customHeight="1" x14ac:dyDescent="0.25">
      <c r="A32" s="42"/>
      <c r="B32" s="18" t="s">
        <v>41</v>
      </c>
      <c r="C32" s="114">
        <v>500</v>
      </c>
      <c r="D32" s="113">
        <f>399.3</f>
        <v>399.3</v>
      </c>
      <c r="E32" s="208">
        <f t="shared" ref="E32:E95" si="3">D32/C32</f>
        <v>0.79859999999999998</v>
      </c>
      <c r="F32" s="105">
        <v>3000</v>
      </c>
    </row>
    <row r="33" spans="1:8" s="46" customFormat="1" ht="30" customHeight="1" x14ac:dyDescent="0.25">
      <c r="A33" s="42"/>
      <c r="B33" s="18" t="s">
        <v>42</v>
      </c>
      <c r="C33" s="114">
        <v>1300</v>
      </c>
      <c r="D33" s="113">
        <f>1213.55</f>
        <v>1213.55</v>
      </c>
      <c r="E33" s="208">
        <f t="shared" si="3"/>
        <v>0.9335</v>
      </c>
      <c r="F33" s="105">
        <v>1200</v>
      </c>
    </row>
    <row r="34" spans="1:8" ht="30" customHeight="1" x14ac:dyDescent="0.25">
      <c r="A34" s="9" t="s">
        <v>1</v>
      </c>
      <c r="B34" s="8" t="s">
        <v>198</v>
      </c>
      <c r="C34" s="114">
        <v>9500</v>
      </c>
      <c r="D34" s="113">
        <f>843.01+6382.99</f>
        <v>7226</v>
      </c>
      <c r="E34" s="208">
        <f t="shared" si="3"/>
        <v>0.76063157894736844</v>
      </c>
      <c r="F34" s="105">
        <v>15000</v>
      </c>
    </row>
    <row r="35" spans="1:8" ht="30" customHeight="1" x14ac:dyDescent="0.25">
      <c r="A35" s="9"/>
      <c r="B35" s="8" t="s">
        <v>44</v>
      </c>
      <c r="C35" s="114">
        <v>5000</v>
      </c>
      <c r="D35" s="113">
        <v>7214.68</v>
      </c>
      <c r="E35" s="208">
        <f t="shared" si="3"/>
        <v>1.442936</v>
      </c>
      <c r="F35" s="105">
        <v>4000</v>
      </c>
    </row>
    <row r="36" spans="1:8" ht="30" customHeight="1" x14ac:dyDescent="0.25">
      <c r="A36" s="9"/>
      <c r="B36" s="8" t="s">
        <v>45</v>
      </c>
      <c r="C36" s="114">
        <v>400</v>
      </c>
      <c r="D36" s="113">
        <f>286.74+15</f>
        <v>301.74</v>
      </c>
      <c r="E36" s="208">
        <f t="shared" si="3"/>
        <v>0.75435000000000008</v>
      </c>
      <c r="F36" s="105">
        <v>2200</v>
      </c>
    </row>
    <row r="37" spans="1:8" ht="30" customHeight="1" x14ac:dyDescent="0.25">
      <c r="A37" s="9" t="s">
        <v>1</v>
      </c>
      <c r="B37" s="8" t="s">
        <v>46</v>
      </c>
      <c r="C37" s="114">
        <v>40000</v>
      </c>
      <c r="D37" s="113">
        <v>48749.49</v>
      </c>
      <c r="E37" s="208">
        <f t="shared" si="3"/>
        <v>1.21873725</v>
      </c>
      <c r="F37" s="105">
        <v>49000</v>
      </c>
    </row>
    <row r="38" spans="1:8" ht="30" customHeight="1" x14ac:dyDescent="0.25">
      <c r="A38" s="9"/>
      <c r="B38" s="8" t="s">
        <v>47</v>
      </c>
      <c r="C38" s="114"/>
      <c r="D38" s="113"/>
      <c r="E38" s="208"/>
      <c r="F38" s="105"/>
    </row>
    <row r="39" spans="1:8" ht="30" customHeight="1" x14ac:dyDescent="0.25">
      <c r="A39" s="9"/>
      <c r="B39" s="8" t="s">
        <v>48</v>
      </c>
      <c r="C39" s="114">
        <f>10000-881</f>
        <v>9119</v>
      </c>
      <c r="D39" s="113">
        <v>7792.4</v>
      </c>
      <c r="E39" s="208">
        <f t="shared" si="3"/>
        <v>0.85452352231604334</v>
      </c>
      <c r="F39" s="105">
        <v>12000</v>
      </c>
    </row>
    <row r="40" spans="1:8" ht="30" customHeight="1" x14ac:dyDescent="0.25">
      <c r="A40" s="9"/>
      <c r="B40" s="8" t="s">
        <v>180</v>
      </c>
      <c r="C40" s="114"/>
      <c r="D40" s="113"/>
      <c r="E40" s="208"/>
      <c r="F40" s="105"/>
    </row>
    <row r="41" spans="1:8" ht="30" customHeight="1" x14ac:dyDescent="0.25">
      <c r="A41" s="9"/>
      <c r="B41" s="8" t="s">
        <v>49</v>
      </c>
      <c r="C41" s="114"/>
      <c r="D41" s="113"/>
      <c r="E41" s="208"/>
      <c r="F41" s="105"/>
    </row>
    <row r="42" spans="1:8" ht="30" customHeight="1" x14ac:dyDescent="0.25">
      <c r="A42" s="9"/>
      <c r="B42" s="8" t="s">
        <v>133</v>
      </c>
      <c r="C42" s="114"/>
      <c r="D42" s="113"/>
      <c r="E42" s="208"/>
      <c r="F42" s="105">
        <v>8000</v>
      </c>
    </row>
    <row r="43" spans="1:8" ht="30" customHeight="1" x14ac:dyDescent="0.25">
      <c r="A43" s="9"/>
      <c r="B43" s="8" t="s">
        <v>139</v>
      </c>
      <c r="C43" s="114">
        <v>8000</v>
      </c>
      <c r="D43" s="113">
        <v>8652.59</v>
      </c>
      <c r="E43" s="208">
        <f t="shared" si="3"/>
        <v>1.08157375</v>
      </c>
      <c r="F43" s="105"/>
    </row>
    <row r="44" spans="1:8" ht="30" customHeight="1" x14ac:dyDescent="0.25">
      <c r="A44" s="9"/>
      <c r="B44" s="8" t="s">
        <v>50</v>
      </c>
      <c r="C44" s="114"/>
      <c r="D44" s="113"/>
      <c r="E44" s="208"/>
      <c r="F44" s="105">
        <v>25300</v>
      </c>
    </row>
    <row r="45" spans="1:8" ht="30" customHeight="1" x14ac:dyDescent="0.25">
      <c r="A45" s="9"/>
      <c r="B45" s="8" t="s">
        <v>51</v>
      </c>
      <c r="C45" s="114">
        <v>55000</v>
      </c>
      <c r="D45" s="113">
        <v>61406</v>
      </c>
      <c r="E45" s="208">
        <f t="shared" si="3"/>
        <v>1.1164727272727273</v>
      </c>
      <c r="F45" s="105">
        <v>25000</v>
      </c>
    </row>
    <row r="46" spans="1:8" ht="30" customHeight="1" x14ac:dyDescent="0.25">
      <c r="A46" s="9"/>
      <c r="B46" s="8" t="s">
        <v>134</v>
      </c>
      <c r="C46" s="114">
        <v>28000</v>
      </c>
      <c r="D46" s="113">
        <v>33108.74</v>
      </c>
      <c r="E46" s="208">
        <f t="shared" si="3"/>
        <v>1.182455</v>
      </c>
      <c r="F46" s="105"/>
    </row>
    <row r="47" spans="1:8" ht="30" customHeight="1" x14ac:dyDescent="0.25">
      <c r="A47" s="9"/>
      <c r="B47" s="8" t="s">
        <v>52</v>
      </c>
      <c r="C47" s="113"/>
      <c r="D47" s="113"/>
      <c r="E47" s="208"/>
      <c r="F47" s="82"/>
    </row>
    <row r="48" spans="1:8" s="67" customFormat="1" ht="30" customHeight="1" x14ac:dyDescent="0.25">
      <c r="A48" s="49" t="s">
        <v>7</v>
      </c>
      <c r="B48" s="50" t="s">
        <v>53</v>
      </c>
      <c r="C48" s="116">
        <f>C49+C50+C51+C52+C53+C54+C55+C56+C57+C58+C59+C60+C61+C62+C63+C64+C65+C66+C67+C68+C69+C70+C71+C72+C73+C75+C76+C77+C78+C79+C80+C81+C82+C83+C84+C85+C86+C87+C88+C89+C90+C91+C92+C93+C94+C95+C96+C97+C98+C74</f>
        <v>451414</v>
      </c>
      <c r="D48" s="116">
        <f>D49+D50+D51+D52+D53+D54+D55+D56+D57+D58+D59+D60+D61+D62+D63+D64+D65+D66+D67+D68+D69+D70+D71+D72+D73+D75+D76+D77+D78+D79+D80+D81+D82+D83+D84+D85+D86+D87+D88+D89+D90+D91+D92+D93+D94+D95+D96+D97+D98+D74</f>
        <v>462330.85</v>
      </c>
      <c r="E48" s="204">
        <f t="shared" si="3"/>
        <v>1.0241836761819527</v>
      </c>
      <c r="F48" s="93">
        <f t="shared" ref="E48:F48" si="4">F49+F50+F51+F52+F53+F54+F55+F56+F57+F58+F59+F60+F61+F62+F63+F64+F65+F66+F67+F68+F69+F70+F71+F72+F73+F75+F76+F77+F78+F79+F80+F81+F82+F83+F84+F85+F86+F87+F88+F89+F90+F91+F92+F93+F94+F95+F96+F97+F98+F74</f>
        <v>389140</v>
      </c>
      <c r="H48" s="131"/>
    </row>
    <row r="49" spans="1:6" ht="30" customHeight="1" x14ac:dyDescent="0.25">
      <c r="A49" s="9"/>
      <c r="B49" s="8" t="s">
        <v>54</v>
      </c>
      <c r="C49" s="113">
        <v>46000</v>
      </c>
      <c r="D49" s="113">
        <v>35603.75</v>
      </c>
      <c r="E49" s="208">
        <f t="shared" si="3"/>
        <v>0.77399456521739129</v>
      </c>
      <c r="F49" s="82">
        <v>50200</v>
      </c>
    </row>
    <row r="50" spans="1:6" ht="30" customHeight="1" x14ac:dyDescent="0.25">
      <c r="A50" s="9"/>
      <c r="B50" s="8" t="s">
        <v>176</v>
      </c>
      <c r="C50" s="113"/>
      <c r="D50" s="113"/>
      <c r="E50" s="208"/>
      <c r="F50" s="82"/>
    </row>
    <row r="51" spans="1:6" ht="30" customHeight="1" x14ac:dyDescent="0.25">
      <c r="A51" s="9"/>
      <c r="B51" s="8" t="s">
        <v>56</v>
      </c>
      <c r="C51" s="113">
        <v>65000</v>
      </c>
      <c r="D51" s="113">
        <v>71009.34</v>
      </c>
      <c r="E51" s="208">
        <f t="shared" si="3"/>
        <v>1.0924513846153845</v>
      </c>
      <c r="F51" s="82">
        <v>63200</v>
      </c>
    </row>
    <row r="52" spans="1:6" ht="30" customHeight="1" x14ac:dyDescent="0.25">
      <c r="A52" s="9"/>
      <c r="B52" s="8" t="s">
        <v>57</v>
      </c>
      <c r="C52" s="113"/>
      <c r="D52" s="113"/>
      <c r="E52" s="208"/>
      <c r="F52" s="82"/>
    </row>
    <row r="53" spans="1:6" ht="30" customHeight="1" x14ac:dyDescent="0.25">
      <c r="A53" s="9"/>
      <c r="B53" s="8" t="s">
        <v>58</v>
      </c>
      <c r="C53" s="113">
        <f>10000+3000</f>
        <v>13000</v>
      </c>
      <c r="D53" s="113">
        <v>11858</v>
      </c>
      <c r="E53" s="208">
        <f t="shared" si="3"/>
        <v>0.9121538461538462</v>
      </c>
      <c r="F53" s="82">
        <v>600</v>
      </c>
    </row>
    <row r="54" spans="1:6" ht="30" customHeight="1" x14ac:dyDescent="0.25">
      <c r="A54" s="9"/>
      <c r="B54" s="8" t="s">
        <v>59</v>
      </c>
      <c r="C54" s="113"/>
      <c r="D54" s="113"/>
      <c r="E54" s="208"/>
      <c r="F54" s="82"/>
    </row>
    <row r="55" spans="1:6" ht="30" customHeight="1" x14ac:dyDescent="0.25">
      <c r="A55" s="9"/>
      <c r="B55" s="19" t="s">
        <v>60</v>
      </c>
      <c r="C55" s="113">
        <f>10000+2456</f>
        <v>12456</v>
      </c>
      <c r="D55" s="113">
        <v>8199</v>
      </c>
      <c r="E55" s="208">
        <f t="shared" si="3"/>
        <v>0.6582369942196532</v>
      </c>
      <c r="F55" s="82">
        <v>500</v>
      </c>
    </row>
    <row r="56" spans="1:6" ht="30" customHeight="1" x14ac:dyDescent="0.25">
      <c r="A56" s="9"/>
      <c r="B56" s="19" t="s">
        <v>61</v>
      </c>
      <c r="C56" s="113">
        <v>44208</v>
      </c>
      <c r="D56" s="113">
        <v>44440</v>
      </c>
      <c r="E56" s="208">
        <f t="shared" si="3"/>
        <v>1.0052479189287007</v>
      </c>
      <c r="F56" s="82">
        <v>31680</v>
      </c>
    </row>
    <row r="57" spans="1:6" ht="30" customHeight="1" x14ac:dyDescent="0.25">
      <c r="A57" s="9"/>
      <c r="B57" s="8" t="s">
        <v>62</v>
      </c>
      <c r="C57" s="113">
        <v>43500</v>
      </c>
      <c r="D57" s="113">
        <v>45180.55</v>
      </c>
      <c r="E57" s="208">
        <f t="shared" si="3"/>
        <v>1.0386333333333333</v>
      </c>
      <c r="F57" s="82">
        <v>41655</v>
      </c>
    </row>
    <row r="58" spans="1:6" ht="30" customHeight="1" x14ac:dyDescent="0.25">
      <c r="A58" s="9"/>
      <c r="B58" s="8" t="s">
        <v>135</v>
      </c>
      <c r="C58" s="113">
        <v>17000</v>
      </c>
      <c r="D58" s="113">
        <f>6445.4+4695.79+5758.48</f>
        <v>16899.669999999998</v>
      </c>
      <c r="E58" s="208">
        <f t="shared" si="3"/>
        <v>0.99409823529411756</v>
      </c>
      <c r="F58" s="82">
        <v>16000</v>
      </c>
    </row>
    <row r="59" spans="1:6" ht="30" customHeight="1" x14ac:dyDescent="0.25">
      <c r="A59" s="9"/>
      <c r="B59" s="8"/>
      <c r="C59" s="113"/>
      <c r="D59" s="113"/>
      <c r="E59" s="208"/>
      <c r="F59" s="82"/>
    </row>
    <row r="60" spans="1:6" ht="30" customHeight="1" x14ac:dyDescent="0.25">
      <c r="A60" s="9"/>
      <c r="B60" s="8" t="s">
        <v>63</v>
      </c>
      <c r="C60" s="113">
        <v>2500</v>
      </c>
      <c r="D60" s="113">
        <v>2150</v>
      </c>
      <c r="E60" s="208">
        <f t="shared" si="3"/>
        <v>0.86</v>
      </c>
      <c r="F60" s="82">
        <v>3400</v>
      </c>
    </row>
    <row r="61" spans="1:6" ht="30" customHeight="1" x14ac:dyDescent="0.25">
      <c r="A61" s="9"/>
      <c r="B61" s="8" t="s">
        <v>64</v>
      </c>
      <c r="C61" s="113"/>
      <c r="D61" s="113"/>
      <c r="E61" s="208"/>
      <c r="F61" s="82"/>
    </row>
    <row r="62" spans="1:6" ht="30" customHeight="1" x14ac:dyDescent="0.25">
      <c r="A62" s="9"/>
      <c r="B62" s="8" t="s">
        <v>65</v>
      </c>
      <c r="C62" s="113"/>
      <c r="D62" s="113"/>
      <c r="E62" s="208"/>
      <c r="F62" s="82">
        <v>500</v>
      </c>
    </row>
    <row r="63" spans="1:6" ht="30" customHeight="1" x14ac:dyDescent="0.25">
      <c r="A63" s="9"/>
      <c r="B63" s="8" t="s">
        <v>136</v>
      </c>
      <c r="C63" s="113">
        <v>3700</v>
      </c>
      <c r="D63" s="113">
        <v>3657.93</v>
      </c>
      <c r="E63" s="208">
        <f t="shared" si="3"/>
        <v>0.98862972972972973</v>
      </c>
      <c r="F63" s="82">
        <v>5000</v>
      </c>
    </row>
    <row r="64" spans="1:6" ht="30" customHeight="1" x14ac:dyDescent="0.25">
      <c r="A64" s="9"/>
      <c r="B64" s="8"/>
      <c r="C64" s="113"/>
      <c r="D64" s="113"/>
      <c r="E64" s="208"/>
      <c r="F64" s="82"/>
    </row>
    <row r="65" spans="1:9" ht="30" customHeight="1" x14ac:dyDescent="0.25">
      <c r="A65" s="9"/>
      <c r="B65" s="8" t="s">
        <v>66</v>
      </c>
      <c r="C65" s="113"/>
      <c r="D65" s="113"/>
      <c r="E65" s="208"/>
      <c r="F65" s="82"/>
    </row>
    <row r="66" spans="1:9" ht="30" customHeight="1" x14ac:dyDescent="0.25">
      <c r="A66" s="9"/>
      <c r="B66" s="8" t="s">
        <v>67</v>
      </c>
      <c r="C66" s="113"/>
      <c r="D66" s="113"/>
      <c r="E66" s="208"/>
      <c r="F66" s="82"/>
    </row>
    <row r="67" spans="1:9" ht="30" customHeight="1" x14ac:dyDescent="0.25">
      <c r="A67" s="9"/>
      <c r="B67" s="8" t="s">
        <v>68</v>
      </c>
      <c r="C67" s="113"/>
      <c r="D67" s="113"/>
      <c r="E67" s="208"/>
      <c r="F67" s="82"/>
    </row>
    <row r="68" spans="1:9" ht="30" customHeight="1" x14ac:dyDescent="0.25">
      <c r="A68" s="9"/>
      <c r="B68" s="8" t="s">
        <v>137</v>
      </c>
      <c r="C68" s="113"/>
      <c r="D68" s="113"/>
      <c r="E68" s="208"/>
      <c r="F68" s="82">
        <v>22770</v>
      </c>
    </row>
    <row r="69" spans="1:9" ht="30" customHeight="1" x14ac:dyDescent="0.25">
      <c r="A69" s="9"/>
      <c r="B69" s="8" t="s">
        <v>138</v>
      </c>
      <c r="C69" s="113"/>
      <c r="D69" s="113"/>
      <c r="E69" s="208"/>
      <c r="F69" s="82"/>
    </row>
    <row r="70" spans="1:9" ht="30" customHeight="1" x14ac:dyDescent="0.25">
      <c r="A70" s="9"/>
      <c r="B70" s="8" t="s">
        <v>69</v>
      </c>
      <c r="C70" s="113"/>
      <c r="D70" s="113"/>
      <c r="E70" s="208"/>
      <c r="F70" s="82"/>
    </row>
    <row r="71" spans="1:9" ht="30" customHeight="1" x14ac:dyDescent="0.25">
      <c r="A71" s="9"/>
      <c r="B71" s="8" t="s">
        <v>70</v>
      </c>
      <c r="C71" s="113">
        <v>45500</v>
      </c>
      <c r="D71" s="113">
        <v>55398.25</v>
      </c>
      <c r="E71" s="208">
        <f t="shared" si="3"/>
        <v>1.217543956043956</v>
      </c>
      <c r="F71" s="82">
        <v>37845</v>
      </c>
    </row>
    <row r="72" spans="1:9" ht="30" customHeight="1" x14ac:dyDescent="0.25">
      <c r="A72" s="9"/>
      <c r="B72" s="8" t="s">
        <v>71</v>
      </c>
      <c r="C72" s="113">
        <v>6000</v>
      </c>
      <c r="D72" s="113">
        <v>5600</v>
      </c>
      <c r="E72" s="208">
        <f t="shared" si="3"/>
        <v>0.93333333333333335</v>
      </c>
      <c r="F72" s="82">
        <v>11670</v>
      </c>
    </row>
    <row r="73" spans="1:9" ht="30" customHeight="1" x14ac:dyDescent="0.25">
      <c r="A73" s="9"/>
      <c r="B73" s="8" t="s">
        <v>72</v>
      </c>
      <c r="C73" s="113"/>
      <c r="D73" s="113"/>
      <c r="E73" s="208"/>
      <c r="F73" s="82"/>
    </row>
    <row r="74" spans="1:9" ht="30" customHeight="1" x14ac:dyDescent="0.25">
      <c r="A74" s="9"/>
      <c r="B74" s="8" t="s">
        <v>73</v>
      </c>
      <c r="C74" s="113"/>
      <c r="D74" s="113"/>
      <c r="E74" s="208"/>
      <c r="F74" s="82"/>
    </row>
    <row r="75" spans="1:9" ht="30" customHeight="1" x14ac:dyDescent="0.25">
      <c r="A75" s="9"/>
      <c r="B75" s="8" t="s">
        <v>74</v>
      </c>
      <c r="C75" s="113">
        <v>100000</v>
      </c>
      <c r="D75" s="113">
        <f>66000+46259.09+10282</f>
        <v>122541.09</v>
      </c>
      <c r="E75" s="208">
        <f t="shared" si="3"/>
        <v>1.2254109</v>
      </c>
      <c r="F75" s="82">
        <v>50520</v>
      </c>
      <c r="H75" s="150"/>
      <c r="I75" s="149"/>
    </row>
    <row r="76" spans="1:9" ht="30" customHeight="1" x14ac:dyDescent="0.25">
      <c r="A76" s="9"/>
      <c r="B76" s="8" t="s">
        <v>75</v>
      </c>
      <c r="C76" s="113">
        <v>20000</v>
      </c>
      <c r="D76" s="113">
        <v>20000</v>
      </c>
      <c r="E76" s="208">
        <f t="shared" si="3"/>
        <v>1</v>
      </c>
      <c r="F76" s="82">
        <v>20000</v>
      </c>
      <c r="H76" s="6"/>
      <c r="I76" s="6"/>
    </row>
    <row r="77" spans="1:9" ht="30" customHeight="1" x14ac:dyDescent="0.25">
      <c r="A77" s="9"/>
      <c r="B77" s="8" t="s">
        <v>76</v>
      </c>
      <c r="C77" s="113"/>
      <c r="D77" s="113"/>
      <c r="E77" s="208"/>
      <c r="F77" s="82"/>
    </row>
    <row r="78" spans="1:9" ht="30" customHeight="1" x14ac:dyDescent="0.25">
      <c r="A78" s="9"/>
      <c r="B78" s="8" t="s">
        <v>77</v>
      </c>
      <c r="C78" s="113">
        <v>3000</v>
      </c>
      <c r="D78" s="113">
        <v>2291</v>
      </c>
      <c r="E78" s="208">
        <f t="shared" si="3"/>
        <v>0.76366666666666672</v>
      </c>
      <c r="F78" s="82">
        <v>18000</v>
      </c>
    </row>
    <row r="79" spans="1:9" ht="36.75" customHeight="1" x14ac:dyDescent="0.25">
      <c r="A79" s="9"/>
      <c r="B79" s="8" t="s">
        <v>78</v>
      </c>
      <c r="C79" s="113">
        <v>1200</v>
      </c>
      <c r="D79" s="113">
        <v>1187.5</v>
      </c>
      <c r="E79" s="208">
        <f t="shared" si="3"/>
        <v>0.98958333333333337</v>
      </c>
      <c r="F79" s="82">
        <v>4000</v>
      </c>
    </row>
    <row r="80" spans="1:9" ht="30" customHeight="1" x14ac:dyDescent="0.25">
      <c r="A80" s="9"/>
      <c r="B80" s="8" t="s">
        <v>79</v>
      </c>
      <c r="C80" s="113"/>
      <c r="D80" s="113"/>
      <c r="E80" s="208"/>
      <c r="F80" s="82"/>
    </row>
    <row r="81" spans="1:6" ht="30" customHeight="1" x14ac:dyDescent="0.25">
      <c r="A81" s="9"/>
      <c r="B81" s="8" t="s">
        <v>181</v>
      </c>
      <c r="C81" s="113"/>
      <c r="D81" s="113"/>
      <c r="E81" s="208"/>
      <c r="F81" s="82"/>
    </row>
    <row r="82" spans="1:6" ht="30" customHeight="1" x14ac:dyDescent="0.25">
      <c r="A82" s="9"/>
      <c r="B82" s="8" t="s">
        <v>182</v>
      </c>
      <c r="C82" s="113"/>
      <c r="D82" s="113"/>
      <c r="E82" s="208"/>
      <c r="F82" s="82"/>
    </row>
    <row r="83" spans="1:6" ht="30" customHeight="1" x14ac:dyDescent="0.25">
      <c r="A83" s="9"/>
      <c r="B83" s="8" t="s">
        <v>82</v>
      </c>
      <c r="C83" s="113"/>
      <c r="D83" s="113"/>
      <c r="E83" s="208"/>
      <c r="F83" s="82"/>
    </row>
    <row r="84" spans="1:6" ht="30" customHeight="1" x14ac:dyDescent="0.25">
      <c r="A84" s="9"/>
      <c r="B84" s="8" t="s">
        <v>83</v>
      </c>
      <c r="C84" s="113"/>
      <c r="D84" s="113"/>
      <c r="E84" s="208"/>
      <c r="F84" s="82"/>
    </row>
    <row r="85" spans="1:6" ht="30" customHeight="1" x14ac:dyDescent="0.25">
      <c r="A85" s="9"/>
      <c r="B85" s="8" t="s">
        <v>84</v>
      </c>
      <c r="C85" s="113"/>
      <c r="D85" s="113"/>
      <c r="E85" s="208"/>
      <c r="F85" s="82"/>
    </row>
    <row r="86" spans="1:6" ht="30" customHeight="1" x14ac:dyDescent="0.25">
      <c r="A86" s="9"/>
      <c r="B86" s="8" t="s">
        <v>183</v>
      </c>
      <c r="C86" s="113"/>
      <c r="D86" s="113"/>
      <c r="E86" s="208"/>
      <c r="F86" s="82"/>
    </row>
    <row r="87" spans="1:6" ht="30" customHeight="1" x14ac:dyDescent="0.25">
      <c r="A87" s="9"/>
      <c r="B87" s="8" t="s">
        <v>186</v>
      </c>
      <c r="C87" s="113"/>
      <c r="D87" s="113"/>
      <c r="E87" s="208"/>
      <c r="F87" s="82"/>
    </row>
    <row r="88" spans="1:6" ht="30" customHeight="1" x14ac:dyDescent="0.25">
      <c r="A88" s="9"/>
      <c r="B88" s="8" t="s">
        <v>184</v>
      </c>
      <c r="C88" s="113"/>
      <c r="D88" s="113"/>
      <c r="E88" s="208"/>
      <c r="F88" s="82"/>
    </row>
    <row r="89" spans="1:6" ht="30" customHeight="1" x14ac:dyDescent="0.25">
      <c r="A89" s="9"/>
      <c r="B89" s="8" t="s">
        <v>185</v>
      </c>
      <c r="C89" s="113"/>
      <c r="D89" s="113"/>
      <c r="E89" s="208"/>
      <c r="F89" s="82"/>
    </row>
    <row r="90" spans="1:6" ht="30" customHeight="1" x14ac:dyDescent="0.25">
      <c r="A90" s="9"/>
      <c r="B90" s="8" t="s">
        <v>168</v>
      </c>
      <c r="C90" s="113"/>
      <c r="D90" s="113"/>
      <c r="E90" s="208"/>
      <c r="F90" s="82"/>
    </row>
    <row r="91" spans="1:6" ht="30" customHeight="1" x14ac:dyDescent="0.25">
      <c r="A91" s="9"/>
      <c r="B91" s="8" t="s">
        <v>89</v>
      </c>
      <c r="C91" s="113">
        <v>1200</v>
      </c>
      <c r="D91" s="113">
        <v>1491.7</v>
      </c>
      <c r="E91" s="208">
        <f t="shared" si="3"/>
        <v>1.2430833333333333</v>
      </c>
      <c r="F91" s="82">
        <v>1600</v>
      </c>
    </row>
    <row r="92" spans="1:6" ht="30" customHeight="1" x14ac:dyDescent="0.25">
      <c r="A92" s="9"/>
      <c r="B92" s="8" t="s">
        <v>187</v>
      </c>
      <c r="C92" s="113"/>
      <c r="D92" s="113"/>
      <c r="E92" s="208"/>
      <c r="F92" s="82"/>
    </row>
    <row r="93" spans="1:6" s="77" customFormat="1" ht="30" customHeight="1" x14ac:dyDescent="0.25">
      <c r="A93" s="9"/>
      <c r="B93" s="8" t="s">
        <v>166</v>
      </c>
      <c r="C93" s="113"/>
      <c r="D93" s="113"/>
      <c r="E93" s="208"/>
      <c r="F93" s="82"/>
    </row>
    <row r="94" spans="1:6" ht="30" customHeight="1" x14ac:dyDescent="0.25">
      <c r="A94" s="9"/>
      <c r="B94" s="8" t="s">
        <v>167</v>
      </c>
      <c r="C94" s="113"/>
      <c r="D94" s="113"/>
      <c r="E94" s="208"/>
      <c r="F94" s="82"/>
    </row>
    <row r="95" spans="1:6" ht="30" customHeight="1" x14ac:dyDescent="0.25">
      <c r="A95" s="9"/>
      <c r="B95" s="8" t="s">
        <v>91</v>
      </c>
      <c r="C95" s="113">
        <v>6000</v>
      </c>
      <c r="D95" s="113">
        <v>4500</v>
      </c>
      <c r="E95" s="208">
        <f t="shared" si="3"/>
        <v>0.75</v>
      </c>
      <c r="F95" s="82">
        <v>0</v>
      </c>
    </row>
    <row r="96" spans="1:6" ht="30" customHeight="1" x14ac:dyDescent="0.25">
      <c r="A96" s="9"/>
      <c r="B96" s="8" t="s">
        <v>92</v>
      </c>
      <c r="C96" s="113">
        <v>6150</v>
      </c>
      <c r="D96" s="113">
        <v>0</v>
      </c>
      <c r="E96" s="208">
        <f t="shared" ref="E96:E134" si="5">D96/C96</f>
        <v>0</v>
      </c>
      <c r="F96" s="82"/>
    </row>
    <row r="97" spans="1:9" ht="30" customHeight="1" x14ac:dyDescent="0.25">
      <c r="A97" s="9"/>
      <c r="B97" s="8" t="s">
        <v>93</v>
      </c>
      <c r="C97" s="113"/>
      <c r="D97" s="113"/>
      <c r="E97" s="208"/>
      <c r="F97" s="82"/>
    </row>
    <row r="98" spans="1:9" ht="30" customHeight="1" x14ac:dyDescent="0.25">
      <c r="A98" s="9"/>
      <c r="B98" s="8" t="s">
        <v>132</v>
      </c>
      <c r="C98" s="113">
        <v>15000</v>
      </c>
      <c r="D98" s="113">
        <v>10323.07</v>
      </c>
      <c r="E98" s="208">
        <f t="shared" si="5"/>
        <v>0.68820466666666669</v>
      </c>
      <c r="F98" s="82">
        <v>10000</v>
      </c>
    </row>
    <row r="99" spans="1:9" s="67" customFormat="1" ht="30" customHeight="1" x14ac:dyDescent="0.25">
      <c r="A99" s="49" t="s">
        <v>9</v>
      </c>
      <c r="B99" s="50" t="s">
        <v>94</v>
      </c>
      <c r="C99" s="116">
        <f>C100</f>
        <v>1343562</v>
      </c>
      <c r="D99" s="116">
        <f>D100</f>
        <v>1143860.56</v>
      </c>
      <c r="E99" s="204">
        <f t="shared" si="5"/>
        <v>0.85136417969546629</v>
      </c>
      <c r="F99" s="93">
        <f t="shared" ref="E99:F99" si="6">F100</f>
        <v>1540000</v>
      </c>
      <c r="H99" s="131"/>
    </row>
    <row r="100" spans="1:9" ht="30" customHeight="1" x14ac:dyDescent="0.25">
      <c r="A100" s="9" t="s">
        <v>1</v>
      </c>
      <c r="B100" s="8" t="s">
        <v>95</v>
      </c>
      <c r="C100" s="113">
        <v>1343562</v>
      </c>
      <c r="D100" s="113">
        <f>705698.11+276115.88+162046.57</f>
        <v>1143860.56</v>
      </c>
      <c r="E100" s="208">
        <f t="shared" si="5"/>
        <v>0.85136417969546629</v>
      </c>
      <c r="F100" s="82">
        <v>1540000</v>
      </c>
      <c r="H100" s="150"/>
      <c r="I100" s="149"/>
    </row>
    <row r="101" spans="1:9" s="67" customFormat="1" ht="30" customHeight="1" x14ac:dyDescent="0.25">
      <c r="A101" s="49" t="s">
        <v>11</v>
      </c>
      <c r="B101" s="50" t="s">
        <v>96</v>
      </c>
      <c r="C101" s="116">
        <f>C102+C103+C104</f>
        <v>70299</v>
      </c>
      <c r="D101" s="116">
        <f>D102+D103+D104</f>
        <v>70326.070000000007</v>
      </c>
      <c r="E101" s="204">
        <f t="shared" si="5"/>
        <v>1.0003850694888976</v>
      </c>
      <c r="F101" s="93">
        <f t="shared" ref="E101:F101" si="7">F102+F103+F104</f>
        <v>53160</v>
      </c>
      <c r="H101" s="131"/>
    </row>
    <row r="102" spans="1:9" s="77" customFormat="1" ht="30" customHeight="1" x14ac:dyDescent="0.25">
      <c r="A102" s="9"/>
      <c r="B102" s="8" t="s">
        <v>97</v>
      </c>
      <c r="C102" s="113">
        <v>2150</v>
      </c>
      <c r="D102" s="113">
        <v>193.74</v>
      </c>
      <c r="E102" s="208">
        <f t="shared" si="5"/>
        <v>9.0111627906976743E-2</v>
      </c>
      <c r="F102" s="82">
        <v>5980</v>
      </c>
    </row>
    <row r="103" spans="1:9" s="77" customFormat="1" ht="30" customHeight="1" x14ac:dyDescent="0.25">
      <c r="A103" s="9"/>
      <c r="B103" s="8" t="s">
        <v>98</v>
      </c>
      <c r="C103" s="113">
        <v>25000</v>
      </c>
      <c r="D103" s="113">
        <v>23954.880000000001</v>
      </c>
      <c r="E103" s="208">
        <f t="shared" si="5"/>
        <v>0.95819520000000002</v>
      </c>
      <c r="F103" s="82">
        <v>47180</v>
      </c>
    </row>
    <row r="104" spans="1:9" s="77" customFormat="1" ht="30" customHeight="1" x14ac:dyDescent="0.25">
      <c r="A104" s="9"/>
      <c r="B104" s="8" t="s">
        <v>99</v>
      </c>
      <c r="C104" s="113">
        <f>32000+11149</f>
        <v>43149</v>
      </c>
      <c r="D104" s="113">
        <v>46177.45</v>
      </c>
      <c r="E104" s="208">
        <f t="shared" si="5"/>
        <v>1.0701858675751466</v>
      </c>
      <c r="F104" s="82">
        <v>0</v>
      </c>
    </row>
    <row r="105" spans="1:9" s="67" customFormat="1" ht="30" customHeight="1" x14ac:dyDescent="0.25">
      <c r="A105" s="49" t="s">
        <v>15</v>
      </c>
      <c r="B105" s="50" t="s">
        <v>100</v>
      </c>
      <c r="C105" s="116">
        <f>C106</f>
        <v>0</v>
      </c>
      <c r="D105" s="116">
        <f>D106</f>
        <v>0</v>
      </c>
      <c r="E105" s="204" t="e">
        <f t="shared" si="5"/>
        <v>#DIV/0!</v>
      </c>
      <c r="F105" s="93">
        <f t="shared" ref="E105:F105" si="8">F106</f>
        <v>0</v>
      </c>
    </row>
    <row r="106" spans="1:9" ht="30" customHeight="1" x14ac:dyDescent="0.25">
      <c r="A106" s="39"/>
      <c r="B106" s="16" t="s">
        <v>101</v>
      </c>
      <c r="C106" s="113">
        <v>0</v>
      </c>
      <c r="D106" s="113">
        <v>0</v>
      </c>
      <c r="E106" s="208" t="e">
        <f t="shared" si="5"/>
        <v>#DIV/0!</v>
      </c>
      <c r="F106" s="82"/>
    </row>
    <row r="107" spans="1:9" s="52" customFormat="1" ht="30" customHeight="1" x14ac:dyDescent="0.25">
      <c r="A107" s="49" t="s">
        <v>19</v>
      </c>
      <c r="B107" s="50" t="s">
        <v>148</v>
      </c>
      <c r="C107" s="116">
        <f>C108</f>
        <v>0</v>
      </c>
      <c r="D107" s="116">
        <f>D108</f>
        <v>0</v>
      </c>
      <c r="E107" s="204" t="e">
        <f t="shared" si="5"/>
        <v>#DIV/0!</v>
      </c>
      <c r="F107" s="93">
        <f>F108</f>
        <v>0</v>
      </c>
    </row>
    <row r="108" spans="1:9" s="6" customFormat="1" ht="30" customHeight="1" x14ac:dyDescent="0.25">
      <c r="A108" s="39"/>
      <c r="B108" s="16" t="s">
        <v>148</v>
      </c>
      <c r="C108" s="113"/>
      <c r="D108" s="113"/>
      <c r="E108" s="208" t="e">
        <f t="shared" si="5"/>
        <v>#DIV/0!</v>
      </c>
      <c r="F108" s="82"/>
    </row>
    <row r="109" spans="1:9" s="67" customFormat="1" ht="30" customHeight="1" x14ac:dyDescent="0.25">
      <c r="A109" s="49" t="s">
        <v>21</v>
      </c>
      <c r="B109" s="50" t="s">
        <v>102</v>
      </c>
      <c r="C109" s="116">
        <f>C110+C111+C112+C113+C114+C115+C116+C117+C118+C119+C120+C121+C122+C123+C124+C125</f>
        <v>467241</v>
      </c>
      <c r="D109" s="116">
        <f>D110+D111+D112+D113+D114+D115+D116+D117+D118+D119+D120+D121+D122+D123+D124+D125</f>
        <v>465081.66999999993</v>
      </c>
      <c r="E109" s="204">
        <f t="shared" si="5"/>
        <v>0.99537855196782798</v>
      </c>
      <c r="F109" s="93">
        <f t="shared" ref="E109:F109" si="9">F110+F111+F112+F113+F114+F115+F116+F117+F118+F119+F120+F121+F122+F123+F124+F125</f>
        <v>337630</v>
      </c>
      <c r="H109" s="131"/>
    </row>
    <row r="110" spans="1:9" ht="30" customHeight="1" x14ac:dyDescent="0.25">
      <c r="A110" s="9"/>
      <c r="B110" s="8" t="s">
        <v>103</v>
      </c>
      <c r="C110" s="113">
        <v>8000</v>
      </c>
      <c r="D110" s="113">
        <f>6086.83+4155.02</f>
        <v>10241.85</v>
      </c>
      <c r="E110" s="208">
        <f t="shared" si="5"/>
        <v>1.2802312500000002</v>
      </c>
      <c r="F110" s="82">
        <v>12000</v>
      </c>
    </row>
    <row r="111" spans="1:9" ht="30" customHeight="1" x14ac:dyDescent="0.25">
      <c r="A111" s="9"/>
      <c r="B111" s="8" t="s">
        <v>104</v>
      </c>
      <c r="C111" s="113"/>
      <c r="D111" s="113">
        <v>1056.8900000000001</v>
      </c>
      <c r="E111" s="208" t="e">
        <f t="shared" si="5"/>
        <v>#DIV/0!</v>
      </c>
      <c r="F111" s="82">
        <v>0</v>
      </c>
    </row>
    <row r="112" spans="1:9" ht="30" customHeight="1" x14ac:dyDescent="0.25">
      <c r="A112" s="9"/>
      <c r="B112" s="8" t="s">
        <v>105</v>
      </c>
      <c r="C112" s="113">
        <f>37000-2559</f>
        <v>34441</v>
      </c>
      <c r="D112" s="113">
        <v>24762.05</v>
      </c>
      <c r="E112" s="208">
        <f t="shared" si="5"/>
        <v>0.71897012281873351</v>
      </c>
      <c r="F112" s="82">
        <v>31060</v>
      </c>
    </row>
    <row r="113" spans="1:8" ht="30" customHeight="1" x14ac:dyDescent="0.25">
      <c r="A113" s="9" t="s">
        <v>1</v>
      </c>
      <c r="B113" s="8" t="s">
        <v>177</v>
      </c>
      <c r="C113" s="113">
        <v>140000</v>
      </c>
      <c r="D113" s="113">
        <f>5000+120757.89</f>
        <v>125757.89</v>
      </c>
      <c r="E113" s="208">
        <f t="shared" si="5"/>
        <v>0.89827064285714286</v>
      </c>
      <c r="F113" s="82">
        <v>62000</v>
      </c>
    </row>
    <row r="114" spans="1:8" ht="30" customHeight="1" x14ac:dyDescent="0.25">
      <c r="A114" s="9"/>
      <c r="B114" s="8" t="s">
        <v>178</v>
      </c>
      <c r="C114" s="113">
        <v>69000</v>
      </c>
      <c r="D114" s="113">
        <v>65921.78</v>
      </c>
      <c r="E114" s="208">
        <f t="shared" si="5"/>
        <v>0.95538811594202899</v>
      </c>
      <c r="F114" s="82">
        <v>54620</v>
      </c>
    </row>
    <row r="115" spans="1:8" ht="30" customHeight="1" x14ac:dyDescent="0.25">
      <c r="A115" s="9"/>
      <c r="B115" s="8" t="s">
        <v>108</v>
      </c>
      <c r="C115" s="113">
        <v>55000</v>
      </c>
      <c r="D115" s="113">
        <v>38983.25</v>
      </c>
      <c r="E115" s="208">
        <f t="shared" si="5"/>
        <v>0.7087863636363636</v>
      </c>
      <c r="F115" s="82">
        <v>64000</v>
      </c>
    </row>
    <row r="116" spans="1:8" ht="30" customHeight="1" x14ac:dyDescent="0.25">
      <c r="A116" s="9"/>
      <c r="B116" s="8" t="s">
        <v>109</v>
      </c>
      <c r="C116" s="113">
        <v>66000</v>
      </c>
      <c r="D116" s="113">
        <f>67569.37+8300</f>
        <v>75869.37</v>
      </c>
      <c r="E116" s="208">
        <f t="shared" si="5"/>
        <v>1.149535909090909</v>
      </c>
      <c r="F116" s="82">
        <v>61000</v>
      </c>
    </row>
    <row r="117" spans="1:8" ht="30" customHeight="1" x14ac:dyDescent="0.25">
      <c r="A117" s="9"/>
      <c r="B117" s="8" t="s">
        <v>110</v>
      </c>
      <c r="C117" s="113"/>
      <c r="D117" s="113"/>
      <c r="E117" s="208"/>
      <c r="F117" s="82">
        <v>5650</v>
      </c>
    </row>
    <row r="118" spans="1:8" ht="30" customHeight="1" x14ac:dyDescent="0.25">
      <c r="A118" s="9"/>
      <c r="B118" s="8" t="s">
        <v>188</v>
      </c>
      <c r="C118" s="113"/>
      <c r="D118" s="113">
        <v>299.29000000000002</v>
      </c>
      <c r="E118" s="208" t="e">
        <f t="shared" si="5"/>
        <v>#DIV/0!</v>
      </c>
      <c r="F118" s="82">
        <v>13800</v>
      </c>
    </row>
    <row r="119" spans="1:8" ht="30" customHeight="1" x14ac:dyDescent="0.25">
      <c r="A119" s="9"/>
      <c r="B119" s="8" t="s">
        <v>111</v>
      </c>
      <c r="C119" s="113">
        <v>20000</v>
      </c>
      <c r="D119" s="113">
        <v>25798.94</v>
      </c>
      <c r="E119" s="208">
        <f t="shared" si="5"/>
        <v>1.289947</v>
      </c>
      <c r="F119" s="82"/>
    </row>
    <row r="120" spans="1:8" ht="30" customHeight="1" x14ac:dyDescent="0.25">
      <c r="A120" s="9"/>
      <c r="B120" s="8"/>
      <c r="C120" s="113"/>
      <c r="D120" s="113"/>
      <c r="E120" s="208"/>
      <c r="F120" s="82"/>
    </row>
    <row r="121" spans="1:8" ht="30" customHeight="1" x14ac:dyDescent="0.25">
      <c r="A121" s="9"/>
      <c r="B121" s="8" t="s">
        <v>114</v>
      </c>
      <c r="C121" s="113"/>
      <c r="D121" s="113"/>
      <c r="E121" s="208"/>
      <c r="F121" s="82">
        <v>0</v>
      </c>
    </row>
    <row r="122" spans="1:8" ht="30" customHeight="1" x14ac:dyDescent="0.25">
      <c r="A122" s="9"/>
      <c r="B122" s="8" t="s">
        <v>115</v>
      </c>
      <c r="C122" s="113">
        <v>14000</v>
      </c>
      <c r="D122" s="113">
        <f>18940+3816.36</f>
        <v>22756.36</v>
      </c>
      <c r="E122" s="208">
        <f t="shared" si="5"/>
        <v>1.6254542857142857</v>
      </c>
      <c r="F122" s="82">
        <v>12000</v>
      </c>
    </row>
    <row r="123" spans="1:8" ht="30" customHeight="1" x14ac:dyDescent="0.25">
      <c r="A123" s="9"/>
      <c r="B123" s="8" t="s">
        <v>116</v>
      </c>
      <c r="C123" s="113">
        <v>800</v>
      </c>
      <c r="D123" s="113">
        <f>798</f>
        <v>798</v>
      </c>
      <c r="E123" s="208">
        <f t="shared" si="5"/>
        <v>0.99750000000000005</v>
      </c>
      <c r="F123" s="82">
        <v>500</v>
      </c>
    </row>
    <row r="124" spans="1:8" ht="30" customHeight="1" x14ac:dyDescent="0.25">
      <c r="A124" s="9"/>
      <c r="B124" s="8" t="s">
        <v>117</v>
      </c>
      <c r="C124" s="113"/>
      <c r="D124" s="113"/>
      <c r="E124" s="208"/>
      <c r="F124" s="82"/>
    </row>
    <row r="125" spans="1:8" ht="30" customHeight="1" x14ac:dyDescent="0.25">
      <c r="A125" s="9"/>
      <c r="B125" s="8" t="s">
        <v>118</v>
      </c>
      <c r="C125" s="113">
        <v>60000</v>
      </c>
      <c r="D125" s="113">
        <f>5300+67536</f>
        <v>72836</v>
      </c>
      <c r="E125" s="208">
        <f t="shared" si="5"/>
        <v>1.2139333333333333</v>
      </c>
      <c r="F125" s="82">
        <v>21000</v>
      </c>
    </row>
    <row r="126" spans="1:8" s="67" customFormat="1" ht="30" customHeight="1" x14ac:dyDescent="0.25">
      <c r="A126" s="54" t="s">
        <v>23</v>
      </c>
      <c r="B126" s="55" t="s">
        <v>119</v>
      </c>
      <c r="C126" s="117">
        <f>C127+C128</f>
        <v>67455</v>
      </c>
      <c r="D126" s="117">
        <f>D127+D128</f>
        <v>68240.59</v>
      </c>
      <c r="E126" s="204">
        <f t="shared" si="5"/>
        <v>1.0116461344600103</v>
      </c>
      <c r="F126" s="94">
        <f>F127+F128</f>
        <v>5</v>
      </c>
      <c r="H126" s="131"/>
    </row>
    <row r="127" spans="1:8" ht="30" customHeight="1" x14ac:dyDescent="0.25">
      <c r="A127" s="9"/>
      <c r="B127" s="8" t="s">
        <v>120</v>
      </c>
      <c r="C127" s="113">
        <v>11000</v>
      </c>
      <c r="D127" s="113">
        <f>9990.77+1409.64</f>
        <v>11400.41</v>
      </c>
      <c r="E127" s="208">
        <f t="shared" si="5"/>
        <v>1.036400909090909</v>
      </c>
      <c r="F127" s="82">
        <v>5</v>
      </c>
      <c r="H127" s="132"/>
    </row>
    <row r="128" spans="1:8" ht="30" customHeight="1" x14ac:dyDescent="0.25">
      <c r="A128" s="9"/>
      <c r="B128" s="8" t="s">
        <v>179</v>
      </c>
      <c r="C128" s="113">
        <v>56455</v>
      </c>
      <c r="D128" s="113">
        <f>33913.2+22926.98</f>
        <v>56840.179999999993</v>
      </c>
      <c r="E128" s="208">
        <f t="shared" si="5"/>
        <v>1.0068227792046762</v>
      </c>
      <c r="F128" s="82"/>
    </row>
    <row r="129" spans="1:8" s="67" customFormat="1" ht="30" customHeight="1" x14ac:dyDescent="0.25">
      <c r="A129" s="54" t="s">
        <v>25</v>
      </c>
      <c r="B129" s="55" t="s">
        <v>122</v>
      </c>
      <c r="C129" s="117">
        <f>C130+C131+C132+C133</f>
        <v>2985</v>
      </c>
      <c r="D129" s="117">
        <f>D130+D131+D132+D133</f>
        <v>21984.21</v>
      </c>
      <c r="E129" s="204">
        <f t="shared" si="5"/>
        <v>7.3648944723618088</v>
      </c>
      <c r="F129" s="94">
        <f t="shared" ref="E129:F129" si="10">F130+F131+F132+F133</f>
        <v>6000</v>
      </c>
      <c r="H129" s="131"/>
    </row>
    <row r="130" spans="1:8" s="46" customFormat="1" ht="30" customHeight="1" x14ac:dyDescent="0.25">
      <c r="A130" s="44"/>
      <c r="B130" s="18" t="s">
        <v>123</v>
      </c>
      <c r="C130" s="113"/>
      <c r="D130" s="113">
        <v>0.03</v>
      </c>
      <c r="E130" s="208" t="e">
        <f t="shared" si="5"/>
        <v>#DIV/0!</v>
      </c>
      <c r="F130" s="82"/>
    </row>
    <row r="131" spans="1:8" ht="51" customHeight="1" x14ac:dyDescent="0.25">
      <c r="A131" s="9"/>
      <c r="B131" s="8" t="s">
        <v>124</v>
      </c>
      <c r="C131" s="113">
        <v>0</v>
      </c>
      <c r="D131" s="113"/>
      <c r="E131" s="208"/>
      <c r="F131" s="82">
        <v>0</v>
      </c>
    </row>
    <row r="132" spans="1:8" ht="30" customHeight="1" x14ac:dyDescent="0.25">
      <c r="A132" s="9"/>
      <c r="B132" s="8" t="s">
        <v>125</v>
      </c>
      <c r="C132" s="113"/>
      <c r="D132" s="113">
        <f>4000+15000</f>
        <v>19000</v>
      </c>
      <c r="E132" s="208"/>
      <c r="F132" s="82">
        <v>4000</v>
      </c>
      <c r="H132" s="133"/>
    </row>
    <row r="133" spans="1:8" ht="30" customHeight="1" x14ac:dyDescent="0.25">
      <c r="A133" s="9"/>
      <c r="B133" s="8" t="s">
        <v>126</v>
      </c>
      <c r="C133" s="113">
        <v>2985</v>
      </c>
      <c r="D133" s="113">
        <v>2984.18</v>
      </c>
      <c r="E133" s="208">
        <f t="shared" si="5"/>
        <v>0.99972529313232827</v>
      </c>
      <c r="F133" s="82">
        <v>2000</v>
      </c>
    </row>
    <row r="134" spans="1:8" s="68" customFormat="1" ht="30" customHeight="1" x14ac:dyDescent="0.25">
      <c r="A134" s="12" t="s">
        <v>27</v>
      </c>
      <c r="B134" s="22" t="s">
        <v>127</v>
      </c>
      <c r="C134" s="118">
        <f t="shared" ref="C134" si="11">C9-C29</f>
        <v>-2129766</v>
      </c>
      <c r="D134" s="118">
        <f t="shared" ref="D134:E134" si="12">D9-D29</f>
        <v>-2115663.5999999996</v>
      </c>
      <c r="E134" s="204">
        <f t="shared" si="5"/>
        <v>0.9933784274892169</v>
      </c>
      <c r="F134" s="95">
        <f t="shared" ref="F134" si="13">F9-F29</f>
        <v>-1941235</v>
      </c>
      <c r="H134" s="135"/>
    </row>
  </sheetData>
  <mergeCells count="14">
    <mergeCell ref="H10:H11"/>
    <mergeCell ref="B4:E4"/>
    <mergeCell ref="F6:F8"/>
    <mergeCell ref="F26:F28"/>
    <mergeCell ref="A6:A8"/>
    <mergeCell ref="B6:B8"/>
    <mergeCell ref="D6:D8"/>
    <mergeCell ref="E6:E8"/>
    <mergeCell ref="C6:C8"/>
    <mergeCell ref="A26:A28"/>
    <mergeCell ref="B26:B28"/>
    <mergeCell ref="D26:D28"/>
    <mergeCell ref="E26:E28"/>
    <mergeCell ref="C26:C2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4"/>
  <sheetViews>
    <sheetView topLeftCell="A106" workbookViewId="0">
      <selection activeCell="H132" sqref="H132"/>
    </sheetView>
  </sheetViews>
  <sheetFormatPr defaultRowHeight="15" x14ac:dyDescent="0.25"/>
  <cols>
    <col min="1" max="1" width="8.140625" style="38" customWidth="1"/>
    <col min="2" max="2" width="31.140625" style="45" customWidth="1"/>
    <col min="3" max="3" width="17.5703125" style="77" customWidth="1"/>
    <col min="4" max="4" width="17.5703125" style="27" customWidth="1"/>
    <col min="5" max="5" width="19.42578125" style="27" customWidth="1"/>
    <col min="6" max="6" width="19.42578125" style="96" hidden="1" customWidth="1"/>
    <col min="7" max="7" width="19.42578125" style="6" customWidth="1"/>
    <col min="8" max="8" width="17.7109375" style="6" bestFit="1" customWidth="1"/>
    <col min="9" max="9" width="14.28515625" style="6" bestFit="1" customWidth="1"/>
    <col min="10" max="16384" width="9.140625" style="6"/>
  </cols>
  <sheetData>
    <row r="1" spans="1:8" x14ac:dyDescent="0.25">
      <c r="A1" s="10"/>
      <c r="B1" s="13"/>
      <c r="C1" s="23"/>
      <c r="D1" s="23"/>
      <c r="E1" s="23"/>
      <c r="F1" s="86"/>
    </row>
    <row r="2" spans="1:8" s="70" customFormat="1" x14ac:dyDescent="0.25">
      <c r="A2" s="64"/>
      <c r="B2" s="14" t="s">
        <v>0</v>
      </c>
      <c r="C2" s="99"/>
      <c r="D2" s="65"/>
      <c r="E2" s="65"/>
      <c r="F2" s="100"/>
    </row>
    <row r="3" spans="1:8" s="47" customFormat="1" ht="15.75" x14ac:dyDescent="0.25">
      <c r="A3" s="1" t="s">
        <v>1</v>
      </c>
      <c r="B3" s="81" t="s">
        <v>203</v>
      </c>
      <c r="C3" s="25"/>
      <c r="D3" s="25"/>
      <c r="E3" s="25"/>
      <c r="F3" s="88"/>
    </row>
    <row r="4" spans="1:8" s="70" customFormat="1" ht="15.75" x14ac:dyDescent="0.25">
      <c r="A4" s="66"/>
      <c r="B4" s="159" t="s">
        <v>204</v>
      </c>
      <c r="C4" s="159"/>
      <c r="D4" s="159"/>
      <c r="E4" s="159"/>
      <c r="F4" s="101"/>
    </row>
    <row r="5" spans="1:8" ht="15.75" x14ac:dyDescent="0.25">
      <c r="A5" s="32"/>
      <c r="B5" s="30"/>
      <c r="C5" s="31"/>
      <c r="D5" s="31"/>
      <c r="E5" s="31"/>
      <c r="F5" s="86"/>
    </row>
    <row r="6" spans="1:8" s="47" customFormat="1" ht="15" customHeight="1" x14ac:dyDescent="0.25">
      <c r="A6" s="160" t="s">
        <v>1</v>
      </c>
      <c r="B6" s="163" t="s">
        <v>2</v>
      </c>
      <c r="C6" s="166" t="s">
        <v>163</v>
      </c>
      <c r="D6" s="166" t="s">
        <v>172</v>
      </c>
      <c r="E6" s="197" t="s">
        <v>199</v>
      </c>
      <c r="F6" s="169" t="s">
        <v>153</v>
      </c>
    </row>
    <row r="7" spans="1:8" s="47" customFormat="1" ht="15" customHeight="1" x14ac:dyDescent="0.25">
      <c r="A7" s="161"/>
      <c r="B7" s="164"/>
      <c r="C7" s="167"/>
      <c r="D7" s="167"/>
      <c r="E7" s="198"/>
      <c r="F7" s="170"/>
    </row>
    <row r="8" spans="1:8" s="47" customFormat="1" ht="50.25" customHeight="1" x14ac:dyDescent="0.25">
      <c r="A8" s="162"/>
      <c r="B8" s="165"/>
      <c r="C8" s="168"/>
      <c r="D8" s="168"/>
      <c r="E8" s="199"/>
      <c r="F8" s="171"/>
      <c r="G8" s="73"/>
    </row>
    <row r="9" spans="1:8" s="47" customFormat="1" ht="30" customHeight="1" x14ac:dyDescent="0.25">
      <c r="A9" s="2" t="s">
        <v>3</v>
      </c>
      <c r="B9" s="15" t="s">
        <v>4</v>
      </c>
      <c r="C9" s="119">
        <f>C10+C11+C12+C13+C14+C15+C16+C17+C18+C19+C20+C21+C22+C23+C24+C25</f>
        <v>4759176</v>
      </c>
      <c r="D9" s="119">
        <f>D10+D11+D12+D13+D14+D15+D16+D17+D18+D19+D20+D21+D22+D23+D24+D25</f>
        <v>5407776.6600000001</v>
      </c>
      <c r="E9" s="209">
        <f>D9/C9</f>
        <v>1.1362842349179774</v>
      </c>
      <c r="F9" s="91">
        <f>F10+F11+F12+F13+F14+F15+F16+F17+F18+F19+F20+F21+F22+F23+F24+F25</f>
        <v>4294380</v>
      </c>
      <c r="H9" s="141"/>
    </row>
    <row r="10" spans="1:8" ht="30" customHeight="1" x14ac:dyDescent="0.25">
      <c r="A10" s="35" t="s">
        <v>5</v>
      </c>
      <c r="B10" s="16" t="s">
        <v>6</v>
      </c>
      <c r="C10" s="113"/>
      <c r="D10" s="113"/>
      <c r="E10" s="207"/>
      <c r="F10" s="82"/>
    </row>
    <row r="11" spans="1:8" ht="30" customHeight="1" x14ac:dyDescent="0.25">
      <c r="A11" s="35" t="s">
        <v>7</v>
      </c>
      <c r="B11" s="8" t="s">
        <v>8</v>
      </c>
      <c r="C11" s="113">
        <f>4686506-23000</f>
        <v>4663506</v>
      </c>
      <c r="D11" s="113">
        <v>5265648.9800000004</v>
      </c>
      <c r="E11" s="207">
        <f t="shared" ref="E10:E25" si="0">D11/C11</f>
        <v>1.1291180884081633</v>
      </c>
      <c r="F11" s="82">
        <v>4190550</v>
      </c>
    </row>
    <row r="12" spans="1:8" ht="30" customHeight="1" x14ac:dyDescent="0.25">
      <c r="A12" s="35" t="s">
        <v>9</v>
      </c>
      <c r="B12" s="8" t="s">
        <v>10</v>
      </c>
      <c r="C12" s="113">
        <v>23000</v>
      </c>
      <c r="D12" s="113">
        <v>21900</v>
      </c>
      <c r="E12" s="207">
        <f t="shared" si="0"/>
        <v>0.95217391304347831</v>
      </c>
      <c r="F12" s="82">
        <v>21000</v>
      </c>
      <c r="H12" s="139"/>
    </row>
    <row r="13" spans="1:8" ht="30" customHeight="1" x14ac:dyDescent="0.25">
      <c r="A13" s="35" t="s">
        <v>11</v>
      </c>
      <c r="B13" s="8" t="s">
        <v>192</v>
      </c>
      <c r="C13" s="113">
        <v>0</v>
      </c>
      <c r="D13" s="113"/>
      <c r="E13" s="207"/>
      <c r="F13" s="82"/>
    </row>
    <row r="14" spans="1:8" ht="30" customHeight="1" x14ac:dyDescent="0.25">
      <c r="A14" s="35" t="s">
        <v>15</v>
      </c>
      <c r="B14" s="8" t="s">
        <v>193</v>
      </c>
      <c r="C14" s="113">
        <v>0</v>
      </c>
      <c r="D14" s="113"/>
      <c r="E14" s="207"/>
      <c r="F14" s="82"/>
    </row>
    <row r="15" spans="1:8" ht="30" customHeight="1" x14ac:dyDescent="0.25">
      <c r="A15" s="35" t="s">
        <v>19</v>
      </c>
      <c r="B15" s="8" t="s">
        <v>194</v>
      </c>
      <c r="C15" s="113">
        <v>0</v>
      </c>
      <c r="D15" s="113"/>
      <c r="E15" s="207"/>
      <c r="F15" s="82"/>
    </row>
    <row r="16" spans="1:8" ht="30" customHeight="1" x14ac:dyDescent="0.25">
      <c r="A16" s="35" t="s">
        <v>21</v>
      </c>
      <c r="B16" s="8" t="s">
        <v>16</v>
      </c>
      <c r="C16" s="113">
        <v>0</v>
      </c>
      <c r="D16" s="113"/>
      <c r="E16" s="207"/>
      <c r="F16" s="82"/>
    </row>
    <row r="17" spans="1:8" ht="30" customHeight="1" x14ac:dyDescent="0.25">
      <c r="A17" s="35" t="s">
        <v>23</v>
      </c>
      <c r="B17" s="8" t="s">
        <v>191</v>
      </c>
      <c r="C17" s="113">
        <v>0</v>
      </c>
      <c r="D17" s="113"/>
      <c r="E17" s="207"/>
      <c r="F17" s="82"/>
    </row>
    <row r="18" spans="1:8" ht="30" customHeight="1" x14ac:dyDescent="0.25">
      <c r="A18" s="35" t="s">
        <v>25</v>
      </c>
      <c r="B18" s="8" t="s">
        <v>195</v>
      </c>
      <c r="C18" s="113">
        <v>0</v>
      </c>
      <c r="D18" s="113"/>
      <c r="E18" s="207"/>
      <c r="F18" s="82"/>
    </row>
    <row r="19" spans="1:8" ht="30" customHeight="1" x14ac:dyDescent="0.25">
      <c r="A19" s="35" t="s">
        <v>27</v>
      </c>
      <c r="B19" s="8"/>
      <c r="C19" s="113">
        <v>0</v>
      </c>
      <c r="D19" s="113"/>
      <c r="E19" s="207"/>
      <c r="F19" s="82"/>
    </row>
    <row r="20" spans="1:8" ht="30" customHeight="1" x14ac:dyDescent="0.25">
      <c r="A20" s="35" t="s">
        <v>29</v>
      </c>
      <c r="B20" s="8" t="s">
        <v>30</v>
      </c>
      <c r="C20" s="113">
        <v>0</v>
      </c>
      <c r="D20" s="113"/>
      <c r="E20" s="207"/>
      <c r="F20" s="82"/>
    </row>
    <row r="21" spans="1:8" ht="30" customHeight="1" x14ac:dyDescent="0.25">
      <c r="A21" s="35" t="s">
        <v>31</v>
      </c>
      <c r="B21" s="8" t="s">
        <v>196</v>
      </c>
      <c r="C21" s="113">
        <v>0</v>
      </c>
      <c r="D21" s="113"/>
      <c r="E21" s="207"/>
      <c r="F21" s="82"/>
    </row>
    <row r="22" spans="1:8" ht="30" customHeight="1" x14ac:dyDescent="0.25">
      <c r="A22" s="35" t="s">
        <v>33</v>
      </c>
      <c r="B22" s="8" t="s">
        <v>197</v>
      </c>
      <c r="C22" s="113">
        <v>0</v>
      </c>
      <c r="D22" s="113"/>
      <c r="E22" s="207"/>
      <c r="F22" s="82"/>
    </row>
    <row r="23" spans="1:8" ht="30" customHeight="1" x14ac:dyDescent="0.25">
      <c r="A23" s="35" t="s">
        <v>35</v>
      </c>
      <c r="B23" s="8" t="s">
        <v>32</v>
      </c>
      <c r="C23" s="113">
        <v>0</v>
      </c>
      <c r="D23" s="113"/>
      <c r="E23" s="207"/>
      <c r="F23" s="82"/>
    </row>
    <row r="24" spans="1:8" ht="30" customHeight="1" x14ac:dyDescent="0.25">
      <c r="A24" s="35" t="s">
        <v>189</v>
      </c>
      <c r="B24" s="8" t="s">
        <v>34</v>
      </c>
      <c r="C24" s="113"/>
      <c r="D24" s="113"/>
      <c r="E24" s="207"/>
      <c r="F24" s="82">
        <v>1200</v>
      </c>
    </row>
    <row r="25" spans="1:8" s="78" customFormat="1" ht="30" customHeight="1" x14ac:dyDescent="0.25">
      <c r="A25" s="35" t="s">
        <v>190</v>
      </c>
      <c r="B25" s="8" t="s">
        <v>36</v>
      </c>
      <c r="C25" s="113">
        <v>72670</v>
      </c>
      <c r="D25" s="113">
        <v>120227.68</v>
      </c>
      <c r="E25" s="207">
        <f t="shared" si="0"/>
        <v>1.6544334663547542</v>
      </c>
      <c r="F25" s="82">
        <v>81630</v>
      </c>
    </row>
    <row r="26" spans="1:8" s="48" customFormat="1" ht="30" customHeight="1" x14ac:dyDescent="0.25">
      <c r="A26" s="160" t="s">
        <v>1</v>
      </c>
      <c r="B26" s="175" t="s">
        <v>37</v>
      </c>
      <c r="C26" s="166" t="s">
        <v>163</v>
      </c>
      <c r="D26" s="166" t="s">
        <v>172</v>
      </c>
      <c r="E26" s="197" t="s">
        <v>199</v>
      </c>
      <c r="F26" s="169" t="s">
        <v>153</v>
      </c>
    </row>
    <row r="27" spans="1:8" s="48" customFormat="1" ht="25.5" customHeight="1" x14ac:dyDescent="0.25">
      <c r="A27" s="161"/>
      <c r="B27" s="176"/>
      <c r="C27" s="167"/>
      <c r="D27" s="167"/>
      <c r="E27" s="198"/>
      <c r="F27" s="170"/>
      <c r="G27" s="73"/>
    </row>
    <row r="28" spans="1:8" s="47" customFormat="1" ht="21" customHeight="1" x14ac:dyDescent="0.25">
      <c r="A28" s="162"/>
      <c r="B28" s="177"/>
      <c r="C28" s="168"/>
      <c r="D28" s="168"/>
      <c r="E28" s="199"/>
      <c r="F28" s="171"/>
    </row>
    <row r="29" spans="1:8" s="47" customFormat="1" ht="30" customHeight="1" x14ac:dyDescent="0.25">
      <c r="A29" s="4" t="s">
        <v>38</v>
      </c>
      <c r="B29" s="17" t="s">
        <v>39</v>
      </c>
      <c r="C29" s="120">
        <f>C31+C48+C99+C101+C105+C109+C126+C129+C107</f>
        <v>3924787</v>
      </c>
      <c r="D29" s="120">
        <f>D31+D48+D99+D101+D105+D109+D126+D129+D107</f>
        <v>3580250.4</v>
      </c>
      <c r="E29" s="210">
        <f>D29/C29</f>
        <v>0.91221521065983957</v>
      </c>
      <c r="F29" s="92">
        <f t="shared" ref="E29:F29" si="1">F31+F48+F99+F101+F105+F109+F126+F129+F107</f>
        <v>3793540</v>
      </c>
      <c r="H29" s="141"/>
    </row>
    <row r="30" spans="1:8" ht="30" customHeight="1" x14ac:dyDescent="0.25">
      <c r="A30" s="39"/>
      <c r="B30" s="16"/>
      <c r="C30" s="113"/>
      <c r="D30" s="113"/>
      <c r="E30" s="207"/>
      <c r="F30" s="82"/>
    </row>
    <row r="31" spans="1:8" s="52" customFormat="1" ht="30" customHeight="1" x14ac:dyDescent="0.25">
      <c r="A31" s="49" t="s">
        <v>5</v>
      </c>
      <c r="B31" s="50" t="s">
        <v>40</v>
      </c>
      <c r="C31" s="116">
        <f>C32+C33+C34+C35+C36+C37+C38+C39+C40+C41+C42+C43+C44+C45+C46+C47</f>
        <v>286516</v>
      </c>
      <c r="D31" s="116">
        <f>D32+D33+D34+D35+D36+D37+D38+D39+D40+D41+D42+D43+D44+D45+D46+D47</f>
        <v>269051.18</v>
      </c>
      <c r="E31" s="210">
        <f t="shared" ref="E30:E93" si="2">D31/C31</f>
        <v>0.93904417205321866</v>
      </c>
      <c r="F31" s="93">
        <f t="shared" ref="F31" si="3">F32+F33+F34+F35+F36+F37+F38+F39+F40+F41+F42+F43+F44+F45+F46+F47</f>
        <v>127480</v>
      </c>
      <c r="H31" s="137"/>
    </row>
    <row r="32" spans="1:8" s="43" customFormat="1" ht="30" customHeight="1" x14ac:dyDescent="0.25">
      <c r="A32" s="42"/>
      <c r="B32" s="18" t="s">
        <v>41</v>
      </c>
      <c r="C32" s="113">
        <v>650</v>
      </c>
      <c r="D32" s="113">
        <v>1411.54</v>
      </c>
      <c r="E32" s="207">
        <f t="shared" si="2"/>
        <v>2.1715999999999998</v>
      </c>
      <c r="F32" s="82">
        <v>400</v>
      </c>
    </row>
    <row r="33" spans="1:8" s="43" customFormat="1" ht="30" customHeight="1" x14ac:dyDescent="0.25">
      <c r="A33" s="42"/>
      <c r="B33" s="18" t="s">
        <v>42</v>
      </c>
      <c r="C33" s="113">
        <v>5500</v>
      </c>
      <c r="D33" s="113">
        <v>4584.7700000000004</v>
      </c>
      <c r="E33" s="207">
        <f t="shared" si="2"/>
        <v>0.83359454545454559</v>
      </c>
      <c r="F33" s="82">
        <v>600</v>
      </c>
    </row>
    <row r="34" spans="1:8" ht="30" customHeight="1" x14ac:dyDescent="0.25">
      <c r="A34" s="9" t="s">
        <v>1</v>
      </c>
      <c r="B34" s="8" t="s">
        <v>198</v>
      </c>
      <c r="C34" s="113"/>
      <c r="D34" s="113"/>
      <c r="E34" s="207"/>
      <c r="F34" s="82">
        <v>100</v>
      </c>
    </row>
    <row r="35" spans="1:8" ht="30" customHeight="1" x14ac:dyDescent="0.25">
      <c r="A35" s="9"/>
      <c r="B35" s="8" t="s">
        <v>44</v>
      </c>
      <c r="C35" s="113"/>
      <c r="D35" s="113"/>
      <c r="E35" s="207"/>
      <c r="F35" s="82">
        <v>800</v>
      </c>
    </row>
    <row r="36" spans="1:8" ht="30" customHeight="1" x14ac:dyDescent="0.25">
      <c r="A36" s="9"/>
      <c r="B36" s="8" t="s">
        <v>45</v>
      </c>
      <c r="C36" s="113">
        <v>3200</v>
      </c>
      <c r="D36" s="113"/>
      <c r="E36" s="207">
        <f t="shared" si="2"/>
        <v>0</v>
      </c>
      <c r="F36" s="82"/>
    </row>
    <row r="37" spans="1:8" ht="30" customHeight="1" x14ac:dyDescent="0.25">
      <c r="A37" s="9" t="s">
        <v>1</v>
      </c>
      <c r="B37" s="8" t="s">
        <v>46</v>
      </c>
      <c r="C37" s="113"/>
      <c r="D37" s="113"/>
      <c r="E37" s="207"/>
      <c r="F37" s="82">
        <v>5430</v>
      </c>
    </row>
    <row r="38" spans="1:8" ht="30" customHeight="1" x14ac:dyDescent="0.25">
      <c r="A38" s="9"/>
      <c r="B38" s="8" t="s">
        <v>47</v>
      </c>
      <c r="C38" s="113"/>
      <c r="D38" s="113"/>
      <c r="E38" s="207"/>
      <c r="F38" s="82"/>
    </row>
    <row r="39" spans="1:8" ht="30" customHeight="1" x14ac:dyDescent="0.25">
      <c r="A39" s="9"/>
      <c r="B39" s="8" t="s">
        <v>48</v>
      </c>
      <c r="C39" s="113">
        <v>90000</v>
      </c>
      <c r="D39" s="113">
        <v>100304.46</v>
      </c>
      <c r="E39" s="207">
        <f t="shared" si="2"/>
        <v>1.1144940000000001</v>
      </c>
      <c r="F39" s="82">
        <v>25650</v>
      </c>
    </row>
    <row r="40" spans="1:8" ht="30" customHeight="1" x14ac:dyDescent="0.25">
      <c r="A40" s="9"/>
      <c r="B40" s="8" t="s">
        <v>180</v>
      </c>
      <c r="C40" s="113"/>
      <c r="D40" s="113">
        <v>2953.2</v>
      </c>
      <c r="E40" s="207" t="e">
        <f t="shared" si="2"/>
        <v>#DIV/0!</v>
      </c>
      <c r="F40" s="82">
        <v>5000</v>
      </c>
    </row>
    <row r="41" spans="1:8" ht="30" customHeight="1" x14ac:dyDescent="0.25">
      <c r="A41" s="9"/>
      <c r="B41" s="8" t="s">
        <v>49</v>
      </c>
      <c r="C41" s="113"/>
      <c r="D41" s="113"/>
      <c r="E41" s="207"/>
      <c r="F41" s="82"/>
    </row>
    <row r="42" spans="1:8" ht="30" customHeight="1" x14ac:dyDescent="0.25">
      <c r="A42" s="9"/>
      <c r="B42" s="8" t="s">
        <v>133</v>
      </c>
      <c r="C42" s="113"/>
      <c r="D42" s="113"/>
      <c r="E42" s="207"/>
      <c r="F42" s="82"/>
    </row>
    <row r="43" spans="1:8" ht="30" customHeight="1" x14ac:dyDescent="0.25">
      <c r="A43" s="9"/>
      <c r="B43" s="8" t="s">
        <v>139</v>
      </c>
      <c r="C43" s="113"/>
      <c r="D43" s="113"/>
      <c r="E43" s="207"/>
      <c r="F43" s="82"/>
    </row>
    <row r="44" spans="1:8" ht="30" customHeight="1" x14ac:dyDescent="0.25">
      <c r="A44" s="9"/>
      <c r="B44" s="8" t="s">
        <v>50</v>
      </c>
      <c r="C44" s="113"/>
      <c r="D44" s="113"/>
      <c r="E44" s="207"/>
      <c r="F44" s="82"/>
      <c r="H44" s="78"/>
    </row>
    <row r="45" spans="1:8" ht="30" customHeight="1" x14ac:dyDescent="0.25">
      <c r="A45" s="9"/>
      <c r="B45" s="8" t="s">
        <v>51</v>
      </c>
      <c r="C45" s="113"/>
      <c r="D45" s="113"/>
      <c r="E45" s="207"/>
      <c r="F45" s="82"/>
    </row>
    <row r="46" spans="1:8" ht="30" customHeight="1" x14ac:dyDescent="0.25">
      <c r="A46" s="9"/>
      <c r="B46" s="8" t="s">
        <v>134</v>
      </c>
      <c r="C46" s="113"/>
      <c r="D46" s="113"/>
      <c r="E46" s="207"/>
      <c r="F46" s="82"/>
    </row>
    <row r="47" spans="1:8" ht="30" customHeight="1" x14ac:dyDescent="0.25">
      <c r="A47" s="9"/>
      <c r="B47" s="8" t="s">
        <v>52</v>
      </c>
      <c r="C47" s="113">
        <v>187166</v>
      </c>
      <c r="D47" s="113">
        <v>159797.21</v>
      </c>
      <c r="E47" s="207">
        <f t="shared" si="2"/>
        <v>0.85377264032997446</v>
      </c>
      <c r="F47" s="82">
        <v>89500</v>
      </c>
      <c r="H47" s="138"/>
    </row>
    <row r="48" spans="1:8" s="52" customFormat="1" ht="30" customHeight="1" x14ac:dyDescent="0.25">
      <c r="A48" s="49" t="s">
        <v>7</v>
      </c>
      <c r="B48" s="50" t="s">
        <v>53</v>
      </c>
      <c r="C48" s="116">
        <f>C49+C50+C51+C52+C53+C54+C55+C56+C57+C58+C59+C60+C61+C62+C63+C64+C65+C66+C67+C68+C69+C70+C71+C72+C73+C75+C76+C77+C78+C79+C80+C81+C82+C83+C84+C85+C86+C87+C88+C89+C90+C91+C92+C93+C94+C95+C96+C97+C98+C74</f>
        <v>2118817</v>
      </c>
      <c r="D48" s="116">
        <f>D49+D50+D51+D52+D53+D54+D55+D56+D57+D58+D59+D60+D61+D62+D63+D64+D65+D66+D67+D68+D69+D70+D71+D72+D73+D75+D76+D77+D78+D79+D80+D81+D82+D83+D84+D85+D86+D87+D88+D89+D90+D91+D92+D93+D94+D95+D96+D97+D98+D74</f>
        <v>1972435.7700000003</v>
      </c>
      <c r="E48" s="210">
        <f t="shared" si="2"/>
        <v>0.93091369854027051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2557740</v>
      </c>
      <c r="H48" s="137"/>
    </row>
    <row r="49" spans="1:6" ht="30" customHeight="1" x14ac:dyDescent="0.25">
      <c r="A49" s="9"/>
      <c r="B49" s="8" t="s">
        <v>54</v>
      </c>
      <c r="C49" s="113">
        <v>5700</v>
      </c>
      <c r="D49" s="113">
        <v>4660.46</v>
      </c>
      <c r="E49" s="207">
        <f t="shared" si="2"/>
        <v>0.81762456140350881</v>
      </c>
      <c r="F49" s="82">
        <v>6285</v>
      </c>
    </row>
    <row r="50" spans="1:6" ht="30" customHeight="1" x14ac:dyDescent="0.25">
      <c r="A50" s="9"/>
      <c r="B50" s="8" t="s">
        <v>176</v>
      </c>
      <c r="C50" s="113"/>
      <c r="D50" s="113"/>
      <c r="E50" s="207"/>
      <c r="F50" s="82"/>
    </row>
    <row r="51" spans="1:6" ht="30" customHeight="1" x14ac:dyDescent="0.25">
      <c r="A51" s="9"/>
      <c r="B51" s="8" t="s">
        <v>56</v>
      </c>
      <c r="C51" s="113"/>
      <c r="D51" s="113"/>
      <c r="E51" s="207"/>
      <c r="F51" s="82"/>
    </row>
    <row r="52" spans="1:6" ht="30" customHeight="1" x14ac:dyDescent="0.25">
      <c r="A52" s="9"/>
      <c r="B52" s="8" t="s">
        <v>57</v>
      </c>
      <c r="C52" s="113">
        <v>6000</v>
      </c>
      <c r="D52" s="113">
        <f>5460+200</f>
        <v>5660</v>
      </c>
      <c r="E52" s="207">
        <f t="shared" si="2"/>
        <v>0.94333333333333336</v>
      </c>
      <c r="F52" s="82">
        <v>40</v>
      </c>
    </row>
    <row r="53" spans="1:6" ht="30" customHeight="1" x14ac:dyDescent="0.25">
      <c r="A53" s="9"/>
      <c r="B53" s="8" t="s">
        <v>58</v>
      </c>
      <c r="C53" s="113"/>
      <c r="D53" s="113"/>
      <c r="E53" s="207"/>
      <c r="F53" s="82">
        <v>0</v>
      </c>
    </row>
    <row r="54" spans="1:6" ht="30" customHeight="1" x14ac:dyDescent="0.25">
      <c r="A54" s="9"/>
      <c r="B54" s="8" t="s">
        <v>59</v>
      </c>
      <c r="C54" s="113">
        <v>1800</v>
      </c>
      <c r="D54" s="113">
        <v>934.15</v>
      </c>
      <c r="E54" s="207">
        <f t="shared" si="2"/>
        <v>0.51897222222222217</v>
      </c>
      <c r="F54" s="82">
        <v>1200</v>
      </c>
    </row>
    <row r="55" spans="1:6" ht="30" customHeight="1" x14ac:dyDescent="0.25">
      <c r="A55" s="9"/>
      <c r="B55" s="19" t="s">
        <v>60</v>
      </c>
      <c r="C55" s="113">
        <v>95000</v>
      </c>
      <c r="D55" s="113">
        <v>92767.06</v>
      </c>
      <c r="E55" s="207">
        <f t="shared" si="2"/>
        <v>0.97649536842105256</v>
      </c>
      <c r="F55" s="82">
        <v>30500</v>
      </c>
    </row>
    <row r="56" spans="1:6" ht="30" customHeight="1" x14ac:dyDescent="0.25">
      <c r="A56" s="9"/>
      <c r="B56" s="19" t="s">
        <v>61</v>
      </c>
      <c r="C56" s="113"/>
      <c r="D56" s="113"/>
      <c r="E56" s="207"/>
      <c r="F56" s="82"/>
    </row>
    <row r="57" spans="1:6" ht="30" customHeight="1" x14ac:dyDescent="0.25">
      <c r="A57" s="9"/>
      <c r="B57" s="8" t="s">
        <v>62</v>
      </c>
      <c r="C57" s="113">
        <v>1000</v>
      </c>
      <c r="D57" s="113">
        <v>1000</v>
      </c>
      <c r="E57" s="207">
        <f t="shared" si="2"/>
        <v>1</v>
      </c>
      <c r="F57" s="82"/>
    </row>
    <row r="58" spans="1:6" ht="30" customHeight="1" x14ac:dyDescent="0.25">
      <c r="A58" s="9"/>
      <c r="B58" s="8" t="s">
        <v>135</v>
      </c>
      <c r="C58" s="113"/>
      <c r="D58" s="113"/>
      <c r="E58" s="207"/>
      <c r="F58" s="82"/>
    </row>
    <row r="59" spans="1:6" ht="30" customHeight="1" x14ac:dyDescent="0.25">
      <c r="A59" s="9"/>
      <c r="B59" s="8"/>
      <c r="C59" s="113"/>
      <c r="D59" s="113"/>
      <c r="E59" s="207"/>
      <c r="F59" s="82"/>
    </row>
    <row r="60" spans="1:6" ht="30" customHeight="1" x14ac:dyDescent="0.25">
      <c r="A60" s="9"/>
      <c r="B60" s="8" t="s">
        <v>63</v>
      </c>
      <c r="C60" s="113">
        <v>600</v>
      </c>
      <c r="D60" s="113">
        <v>500</v>
      </c>
      <c r="E60" s="207">
        <f t="shared" si="2"/>
        <v>0.83333333333333337</v>
      </c>
      <c r="F60" s="82"/>
    </row>
    <row r="61" spans="1:6" ht="30" customHeight="1" x14ac:dyDescent="0.25">
      <c r="A61" s="9"/>
      <c r="B61" s="8" t="s">
        <v>64</v>
      </c>
      <c r="C61" s="113"/>
      <c r="D61" s="113"/>
      <c r="E61" s="207"/>
      <c r="F61" s="82"/>
    </row>
    <row r="62" spans="1:6" ht="30" customHeight="1" x14ac:dyDescent="0.25">
      <c r="A62" s="9"/>
      <c r="B62" s="8" t="s">
        <v>65</v>
      </c>
      <c r="C62" s="113"/>
      <c r="D62" s="113"/>
      <c r="E62" s="207"/>
      <c r="F62" s="82"/>
    </row>
    <row r="63" spans="1:6" ht="30" customHeight="1" x14ac:dyDescent="0.25">
      <c r="A63" s="9"/>
      <c r="B63" s="8" t="s">
        <v>136</v>
      </c>
      <c r="C63" s="113"/>
      <c r="D63" s="113"/>
      <c r="E63" s="207"/>
      <c r="F63" s="82"/>
    </row>
    <row r="64" spans="1:6" ht="30" customHeight="1" x14ac:dyDescent="0.25">
      <c r="A64" s="9"/>
      <c r="B64" s="8"/>
      <c r="C64" s="113"/>
      <c r="D64" s="113"/>
      <c r="E64" s="207"/>
      <c r="F64" s="82"/>
    </row>
    <row r="65" spans="1:8" ht="30" customHeight="1" x14ac:dyDescent="0.25">
      <c r="A65" s="9"/>
      <c r="B65" s="8" t="s">
        <v>66</v>
      </c>
      <c r="C65" s="113">
        <v>7000</v>
      </c>
      <c r="D65" s="113">
        <v>5926.8</v>
      </c>
      <c r="E65" s="207">
        <f t="shared" si="2"/>
        <v>0.84668571428571426</v>
      </c>
      <c r="F65" s="82">
        <v>5200</v>
      </c>
    </row>
    <row r="66" spans="1:8" ht="30" customHeight="1" x14ac:dyDescent="0.25">
      <c r="A66" s="9"/>
      <c r="B66" s="8" t="s">
        <v>67</v>
      </c>
      <c r="C66" s="113">
        <v>120</v>
      </c>
      <c r="D66" s="113">
        <v>106.72</v>
      </c>
      <c r="E66" s="207">
        <f t="shared" si="2"/>
        <v>0.88933333333333331</v>
      </c>
      <c r="F66" s="82">
        <v>15</v>
      </c>
    </row>
    <row r="67" spans="1:8" ht="30" customHeight="1" x14ac:dyDescent="0.25">
      <c r="A67" s="9"/>
      <c r="B67" s="8" t="s">
        <v>68</v>
      </c>
      <c r="C67" s="113"/>
      <c r="D67" s="113"/>
      <c r="E67" s="207"/>
      <c r="F67" s="82"/>
    </row>
    <row r="68" spans="1:8" ht="30" customHeight="1" x14ac:dyDescent="0.25">
      <c r="A68" s="9"/>
      <c r="B68" s="8" t="s">
        <v>137</v>
      </c>
      <c r="C68" s="113"/>
      <c r="D68" s="113"/>
      <c r="E68" s="207"/>
      <c r="F68" s="82"/>
    </row>
    <row r="69" spans="1:8" ht="30" customHeight="1" x14ac:dyDescent="0.25">
      <c r="A69" s="9"/>
      <c r="B69" s="8" t="s">
        <v>138</v>
      </c>
      <c r="C69" s="113"/>
      <c r="D69" s="113"/>
      <c r="E69" s="207"/>
      <c r="F69" s="82"/>
    </row>
    <row r="70" spans="1:8" ht="30" customHeight="1" x14ac:dyDescent="0.25">
      <c r="A70" s="9"/>
      <c r="B70" s="8" t="s">
        <v>69</v>
      </c>
      <c r="C70" s="113"/>
      <c r="D70" s="113"/>
      <c r="E70" s="207"/>
      <c r="F70" s="82"/>
    </row>
    <row r="71" spans="1:8" ht="30" customHeight="1" x14ac:dyDescent="0.25">
      <c r="A71" s="9"/>
      <c r="B71" s="8" t="s">
        <v>70</v>
      </c>
      <c r="C71" s="113"/>
      <c r="D71" s="113"/>
      <c r="E71" s="207"/>
      <c r="F71" s="82"/>
    </row>
    <row r="72" spans="1:8" ht="30" customHeight="1" x14ac:dyDescent="0.25">
      <c r="A72" s="9"/>
      <c r="B72" s="8" t="s">
        <v>71</v>
      </c>
      <c r="C72" s="113"/>
      <c r="D72" s="113"/>
      <c r="E72" s="207"/>
      <c r="F72" s="82"/>
    </row>
    <row r="73" spans="1:8" ht="30" customHeight="1" x14ac:dyDescent="0.25">
      <c r="A73" s="9"/>
      <c r="B73" s="8" t="s">
        <v>72</v>
      </c>
      <c r="C73" s="113"/>
      <c r="D73" s="113"/>
      <c r="E73" s="207"/>
      <c r="F73" s="82"/>
    </row>
    <row r="74" spans="1:8" ht="30" customHeight="1" x14ac:dyDescent="0.25">
      <c r="A74" s="9"/>
      <c r="B74" s="8" t="s">
        <v>73</v>
      </c>
      <c r="C74" s="113">
        <v>500</v>
      </c>
      <c r="D74" s="113">
        <v>500</v>
      </c>
      <c r="E74" s="207">
        <f t="shared" si="2"/>
        <v>1</v>
      </c>
      <c r="F74" s="82"/>
    </row>
    <row r="75" spans="1:8" ht="30" customHeight="1" x14ac:dyDescent="0.25">
      <c r="A75" s="9"/>
      <c r="B75" s="8" t="s">
        <v>74</v>
      </c>
      <c r="C75" s="113"/>
      <c r="D75" s="113"/>
      <c r="E75" s="207"/>
      <c r="F75" s="82"/>
    </row>
    <row r="76" spans="1:8" ht="30" customHeight="1" x14ac:dyDescent="0.25">
      <c r="A76" s="9"/>
      <c r="B76" s="8" t="s">
        <v>75</v>
      </c>
      <c r="C76" s="113"/>
      <c r="D76" s="113"/>
      <c r="E76" s="207"/>
      <c r="F76" s="82"/>
    </row>
    <row r="77" spans="1:8" ht="30" customHeight="1" x14ac:dyDescent="0.25">
      <c r="A77" s="9"/>
      <c r="B77" s="8" t="s">
        <v>76</v>
      </c>
      <c r="C77" s="113"/>
      <c r="D77" s="113"/>
      <c r="E77" s="207"/>
      <c r="F77" s="82"/>
    </row>
    <row r="78" spans="1:8" ht="30" customHeight="1" x14ac:dyDescent="0.25">
      <c r="A78" s="9"/>
      <c r="B78" s="8" t="s">
        <v>77</v>
      </c>
      <c r="C78" s="113"/>
      <c r="D78" s="113"/>
      <c r="E78" s="207"/>
      <c r="F78" s="82"/>
    </row>
    <row r="79" spans="1:8" ht="36.75" customHeight="1" x14ac:dyDescent="0.25">
      <c r="A79" s="9"/>
      <c r="B79" s="8" t="s">
        <v>78</v>
      </c>
      <c r="C79" s="113"/>
      <c r="D79" s="113"/>
      <c r="E79" s="207"/>
      <c r="F79" s="82"/>
    </row>
    <row r="80" spans="1:8" ht="30" customHeight="1" x14ac:dyDescent="0.25">
      <c r="A80" s="9"/>
      <c r="B80" s="8" t="s">
        <v>79</v>
      </c>
      <c r="C80" s="113"/>
      <c r="D80" s="113"/>
      <c r="E80" s="207"/>
      <c r="F80" s="82"/>
      <c r="H80" s="136"/>
    </row>
    <row r="81" spans="1:9" ht="30" customHeight="1" x14ac:dyDescent="0.25">
      <c r="A81" s="9"/>
      <c r="B81" s="8" t="s">
        <v>181</v>
      </c>
      <c r="C81" s="113">
        <v>250000</v>
      </c>
      <c r="D81" s="113">
        <v>248773.58</v>
      </c>
      <c r="E81" s="207">
        <f t="shared" si="2"/>
        <v>0.99509431999999998</v>
      </c>
      <c r="F81" s="82">
        <v>280000</v>
      </c>
      <c r="H81" s="136"/>
      <c r="I81" s="139"/>
    </row>
    <row r="82" spans="1:9" ht="30" customHeight="1" x14ac:dyDescent="0.25">
      <c r="A82" s="9"/>
      <c r="B82" s="8" t="s">
        <v>182</v>
      </c>
      <c r="C82" s="113">
        <v>55000</v>
      </c>
      <c r="D82" s="113">
        <v>53891.56</v>
      </c>
      <c r="E82" s="207">
        <f t="shared" si="2"/>
        <v>0.97984654545454541</v>
      </c>
      <c r="F82" s="82">
        <v>400000</v>
      </c>
      <c r="G82" s="125"/>
      <c r="H82" s="83"/>
      <c r="I82" s="139"/>
    </row>
    <row r="83" spans="1:9" ht="30" customHeight="1" x14ac:dyDescent="0.25">
      <c r="A83" s="9"/>
      <c r="B83" s="8" t="s">
        <v>82</v>
      </c>
      <c r="C83" s="113"/>
      <c r="D83" s="113"/>
      <c r="E83" s="207"/>
      <c r="F83" s="82">
        <v>780000</v>
      </c>
      <c r="G83" s="84"/>
      <c r="H83" s="83"/>
    </row>
    <row r="84" spans="1:9" ht="30" customHeight="1" x14ac:dyDescent="0.25">
      <c r="A84" s="9"/>
      <c r="B84" s="8" t="s">
        <v>83</v>
      </c>
      <c r="C84" s="113">
        <v>886997</v>
      </c>
      <c r="D84" s="113">
        <v>691256</v>
      </c>
      <c r="E84" s="207">
        <f t="shared" si="2"/>
        <v>0.77932168879939845</v>
      </c>
      <c r="F84" s="82">
        <v>800000</v>
      </c>
      <c r="G84" s="124"/>
      <c r="H84" s="140"/>
      <c r="I84" s="139"/>
    </row>
    <row r="85" spans="1:9" ht="30" customHeight="1" x14ac:dyDescent="0.25">
      <c r="A85" s="9"/>
      <c r="B85" s="8" t="s">
        <v>84</v>
      </c>
      <c r="C85" s="113"/>
      <c r="D85" s="113"/>
      <c r="E85" s="207"/>
      <c r="F85" s="82"/>
      <c r="G85" s="84"/>
      <c r="H85" s="83"/>
    </row>
    <row r="86" spans="1:9" ht="30" customHeight="1" x14ac:dyDescent="0.25">
      <c r="A86" s="9"/>
      <c r="B86" s="8" t="s">
        <v>183</v>
      </c>
      <c r="C86" s="113">
        <v>172000</v>
      </c>
      <c r="D86" s="113">
        <v>244594</v>
      </c>
      <c r="E86" s="207">
        <f t="shared" si="2"/>
        <v>1.4220581395348837</v>
      </c>
      <c r="F86" s="82">
        <v>100000</v>
      </c>
      <c r="G86" s="126"/>
      <c r="H86" s="140"/>
      <c r="I86" s="139"/>
    </row>
    <row r="87" spans="1:9" ht="30" customHeight="1" x14ac:dyDescent="0.25">
      <c r="A87" s="9"/>
      <c r="B87" s="8" t="s">
        <v>186</v>
      </c>
      <c r="C87" s="113"/>
      <c r="D87" s="113"/>
      <c r="E87" s="207"/>
      <c r="F87" s="82"/>
      <c r="G87" s="84"/>
      <c r="H87" s="83"/>
    </row>
    <row r="88" spans="1:9" ht="30" customHeight="1" x14ac:dyDescent="0.25">
      <c r="A88" s="9"/>
      <c r="B88" s="8" t="s">
        <v>184</v>
      </c>
      <c r="C88" s="113"/>
      <c r="D88" s="113"/>
      <c r="E88" s="207"/>
      <c r="F88" s="82"/>
      <c r="G88" s="83"/>
      <c r="H88" s="83"/>
    </row>
    <row r="89" spans="1:9" ht="30" customHeight="1" x14ac:dyDescent="0.25">
      <c r="A89" s="9"/>
      <c r="B89" s="8" t="s">
        <v>185</v>
      </c>
      <c r="C89" s="113"/>
      <c r="D89" s="113"/>
      <c r="E89" s="207"/>
      <c r="F89" s="82"/>
      <c r="G89" s="83"/>
      <c r="H89" s="83"/>
    </row>
    <row r="90" spans="1:9" ht="30" customHeight="1" x14ac:dyDescent="0.25">
      <c r="A90" s="9"/>
      <c r="B90" s="8" t="s">
        <v>168</v>
      </c>
      <c r="C90" s="113"/>
      <c r="D90" s="113"/>
      <c r="E90" s="207"/>
      <c r="F90" s="82">
        <v>6500</v>
      </c>
      <c r="G90" s="83"/>
      <c r="H90" s="83"/>
    </row>
    <row r="91" spans="1:9" ht="30" customHeight="1" x14ac:dyDescent="0.25">
      <c r="A91" s="9"/>
      <c r="B91" s="8" t="s">
        <v>89</v>
      </c>
      <c r="C91" s="113">
        <v>100</v>
      </c>
      <c r="D91" s="113">
        <v>60</v>
      </c>
      <c r="E91" s="207">
        <f t="shared" si="2"/>
        <v>0.6</v>
      </c>
      <c r="F91" s="82"/>
    </row>
    <row r="92" spans="1:9" ht="30" customHeight="1" x14ac:dyDescent="0.25">
      <c r="A92" s="9"/>
      <c r="B92" s="8" t="s">
        <v>187</v>
      </c>
      <c r="C92" s="113"/>
      <c r="D92" s="113"/>
      <c r="E92" s="207"/>
      <c r="F92" s="82">
        <v>145000</v>
      </c>
    </row>
    <row r="93" spans="1:9" ht="30" customHeight="1" x14ac:dyDescent="0.25">
      <c r="A93" s="9"/>
      <c r="B93" s="8" t="s">
        <v>166</v>
      </c>
      <c r="C93" s="113">
        <v>582000</v>
      </c>
      <c r="D93" s="113">
        <v>580138.64</v>
      </c>
      <c r="E93" s="207">
        <f t="shared" si="2"/>
        <v>0.99680178694158073</v>
      </c>
      <c r="F93" s="82"/>
      <c r="H93" s="136"/>
      <c r="I93" s="139"/>
    </row>
    <row r="94" spans="1:9" ht="30" customHeight="1" x14ac:dyDescent="0.25">
      <c r="A94" s="9"/>
      <c r="B94" s="8" t="s">
        <v>167</v>
      </c>
      <c r="C94" s="113">
        <v>55000</v>
      </c>
      <c r="D94" s="113">
        <v>41666.800000000003</v>
      </c>
      <c r="E94" s="207">
        <f t="shared" ref="E94:E134" si="5">D94/C94</f>
        <v>0.75757818181818182</v>
      </c>
      <c r="F94" s="82"/>
      <c r="H94" s="136"/>
      <c r="I94" s="139"/>
    </row>
    <row r="95" spans="1:9" ht="30" customHeight="1" x14ac:dyDescent="0.25">
      <c r="A95" s="9"/>
      <c r="B95" s="8" t="s">
        <v>91</v>
      </c>
      <c r="C95" s="113"/>
      <c r="D95" s="113"/>
      <c r="E95" s="207"/>
      <c r="F95" s="82">
        <v>3000</v>
      </c>
    </row>
    <row r="96" spans="1:9" ht="30" customHeight="1" x14ac:dyDescent="0.25">
      <c r="A96" s="9"/>
      <c r="B96" s="8" t="s">
        <v>92</v>
      </c>
      <c r="C96" s="113"/>
      <c r="D96" s="113"/>
      <c r="E96" s="207"/>
      <c r="F96" s="82"/>
    </row>
    <row r="97" spans="1:8" ht="30" customHeight="1" x14ac:dyDescent="0.25">
      <c r="A97" s="9"/>
      <c r="B97" s="8" t="s">
        <v>93</v>
      </c>
      <c r="C97" s="113"/>
      <c r="D97" s="113"/>
      <c r="E97" s="207"/>
      <c r="F97" s="82"/>
    </row>
    <row r="98" spans="1:8" ht="30" customHeight="1" x14ac:dyDescent="0.25">
      <c r="A98" s="9"/>
      <c r="B98" s="8" t="s">
        <v>132</v>
      </c>
      <c r="C98" s="113"/>
      <c r="D98" s="113"/>
      <c r="E98" s="207"/>
      <c r="F98" s="82"/>
    </row>
    <row r="99" spans="1:8" s="52" customFormat="1" ht="30" customHeight="1" x14ac:dyDescent="0.25">
      <c r="A99" s="49" t="s">
        <v>9</v>
      </c>
      <c r="B99" s="50" t="s">
        <v>94</v>
      </c>
      <c r="C99" s="116">
        <f>C100</f>
        <v>933615</v>
      </c>
      <c r="D99" s="116">
        <f>D100</f>
        <v>758732.76</v>
      </c>
      <c r="E99" s="210">
        <f t="shared" si="5"/>
        <v>0.81268270111341401</v>
      </c>
      <c r="F99" s="93">
        <f t="shared" ref="E99:F99" si="6">F100</f>
        <v>615000</v>
      </c>
      <c r="H99" s="137"/>
    </row>
    <row r="100" spans="1:8" ht="30" customHeight="1" x14ac:dyDescent="0.25">
      <c r="A100" s="9" t="s">
        <v>1</v>
      </c>
      <c r="B100" s="8" t="s">
        <v>95</v>
      </c>
      <c r="C100" s="113">
        <v>933615</v>
      </c>
      <c r="D100" s="113">
        <f>474721.07+186915.82+97095.87</f>
        <v>758732.76</v>
      </c>
      <c r="E100" s="207">
        <f t="shared" si="5"/>
        <v>0.81268270111341401</v>
      </c>
      <c r="F100" s="82">
        <v>615000</v>
      </c>
    </row>
    <row r="101" spans="1:8" s="52" customFormat="1" ht="30" customHeight="1" x14ac:dyDescent="0.25">
      <c r="A101" s="49" t="s">
        <v>11</v>
      </c>
      <c r="B101" s="50" t="s">
        <v>96</v>
      </c>
      <c r="C101" s="116">
        <f>C102+C103+C104</f>
        <v>348096</v>
      </c>
      <c r="D101" s="116">
        <f>D102+D103+D104</f>
        <v>347894</v>
      </c>
      <c r="E101" s="210">
        <f t="shared" si="5"/>
        <v>0.99941970031255745</v>
      </c>
      <c r="F101" s="93">
        <f t="shared" ref="F101" si="7">F102+F103+F104</f>
        <v>341940</v>
      </c>
      <c r="H101" s="137"/>
    </row>
    <row r="102" spans="1:8" s="78" customFormat="1" ht="30" customHeight="1" x14ac:dyDescent="0.25">
      <c r="A102" s="9"/>
      <c r="B102" s="8" t="s">
        <v>97</v>
      </c>
      <c r="C102" s="113">
        <v>0</v>
      </c>
      <c r="D102" s="113"/>
      <c r="E102" s="207"/>
      <c r="F102" s="82"/>
    </row>
    <row r="103" spans="1:8" s="78" customFormat="1" ht="30" customHeight="1" x14ac:dyDescent="0.25">
      <c r="A103" s="9"/>
      <c r="B103" s="8" t="s">
        <v>98</v>
      </c>
      <c r="C103" s="113">
        <f>348096-52550</f>
        <v>295546</v>
      </c>
      <c r="D103" s="113">
        <f>154594.08+139362.96</f>
        <v>293957.03999999998</v>
      </c>
      <c r="E103" s="207">
        <f t="shared" si="5"/>
        <v>0.99462364572689188</v>
      </c>
      <c r="F103" s="82">
        <v>293960</v>
      </c>
    </row>
    <row r="104" spans="1:8" s="78" customFormat="1" ht="30" customHeight="1" x14ac:dyDescent="0.25">
      <c r="A104" s="9"/>
      <c r="B104" s="8" t="s">
        <v>99</v>
      </c>
      <c r="C104" s="113">
        <v>52550</v>
      </c>
      <c r="D104" s="113">
        <f>347894-293957.04</f>
        <v>53936.960000000021</v>
      </c>
      <c r="E104" s="207">
        <f t="shared" si="5"/>
        <v>1.0263931493815417</v>
      </c>
      <c r="F104" s="82">
        <v>47980</v>
      </c>
    </row>
    <row r="105" spans="1:8" s="52" customFormat="1" ht="30" customHeight="1" x14ac:dyDescent="0.25">
      <c r="A105" s="49" t="s">
        <v>15</v>
      </c>
      <c r="B105" s="50" t="s">
        <v>100</v>
      </c>
      <c r="C105" s="116">
        <f>C106</f>
        <v>0</v>
      </c>
      <c r="D105" s="116">
        <f>D106</f>
        <v>0</v>
      </c>
      <c r="E105" s="210" t="e">
        <f t="shared" si="5"/>
        <v>#DIV/0!</v>
      </c>
      <c r="F105" s="93">
        <f t="shared" ref="E105:F105" si="8">F106</f>
        <v>0</v>
      </c>
    </row>
    <row r="106" spans="1:8" ht="30" customHeight="1" x14ac:dyDescent="0.25">
      <c r="A106" s="39"/>
      <c r="B106" s="16" t="s">
        <v>101</v>
      </c>
      <c r="C106" s="113">
        <v>0</v>
      </c>
      <c r="D106" s="113">
        <v>0</v>
      </c>
      <c r="E106" s="207" t="e">
        <f t="shared" si="5"/>
        <v>#DIV/0!</v>
      </c>
      <c r="F106" s="82"/>
    </row>
    <row r="107" spans="1:8" s="52" customFormat="1" ht="30" customHeight="1" x14ac:dyDescent="0.25">
      <c r="A107" s="49" t="s">
        <v>19</v>
      </c>
      <c r="B107" s="50" t="s">
        <v>148</v>
      </c>
      <c r="C107" s="116">
        <f>C108</f>
        <v>0</v>
      </c>
      <c r="D107" s="116">
        <f>D108</f>
        <v>0</v>
      </c>
      <c r="E107" s="210" t="e">
        <f t="shared" si="5"/>
        <v>#DIV/0!</v>
      </c>
      <c r="F107" s="93">
        <f>F108</f>
        <v>0</v>
      </c>
    </row>
    <row r="108" spans="1:8" ht="30" customHeight="1" x14ac:dyDescent="0.25">
      <c r="A108" s="39"/>
      <c r="B108" s="16" t="s">
        <v>148</v>
      </c>
      <c r="C108" s="113"/>
      <c r="D108" s="113"/>
      <c r="E108" s="207" t="e">
        <f t="shared" si="5"/>
        <v>#DIV/0!</v>
      </c>
      <c r="F108" s="82"/>
    </row>
    <row r="109" spans="1:8" s="52" customFormat="1" ht="30" customHeight="1" x14ac:dyDescent="0.25">
      <c r="A109" s="49" t="s">
        <v>21</v>
      </c>
      <c r="B109" s="50" t="s">
        <v>102</v>
      </c>
      <c r="C109" s="116">
        <f>C110+C111+C112+C113+C114+C115+C116+C117+C118+C119+C120+C121+C122+C123+C124+C125</f>
        <v>220819</v>
      </c>
      <c r="D109" s="116">
        <f>D110+D111+D112+D113+D114+D115+D116+D117+D118+D119+D120+D121+D122+D123+D124+D125</f>
        <v>215759.42</v>
      </c>
      <c r="E109" s="210">
        <f t="shared" si="5"/>
        <v>0.97708720716967301</v>
      </c>
      <c r="F109" s="93">
        <f t="shared" ref="F109" si="9">F110+F111+F112+F113+F114+F115+F116+F117+F118+F119+F120+F121+F122+F123+F124+F125</f>
        <v>101800</v>
      </c>
      <c r="H109" s="137"/>
    </row>
    <row r="110" spans="1:8" ht="30" customHeight="1" x14ac:dyDescent="0.25">
      <c r="A110" s="9"/>
      <c r="B110" s="8" t="s">
        <v>103</v>
      </c>
      <c r="C110" s="113">
        <v>7500</v>
      </c>
      <c r="D110" s="113">
        <f>400+6373.55</f>
        <v>6773.55</v>
      </c>
      <c r="E110" s="207">
        <f t="shared" si="5"/>
        <v>0.90314000000000005</v>
      </c>
      <c r="F110" s="82">
        <v>5000</v>
      </c>
    </row>
    <row r="111" spans="1:8" ht="30" customHeight="1" x14ac:dyDescent="0.25">
      <c r="A111" s="9"/>
      <c r="B111" s="8" t="s">
        <v>104</v>
      </c>
      <c r="C111" s="113"/>
      <c r="D111" s="113">
        <v>1056.8900000000001</v>
      </c>
      <c r="E111" s="207" t="e">
        <f t="shared" si="5"/>
        <v>#DIV/0!</v>
      </c>
      <c r="F111" s="82"/>
    </row>
    <row r="112" spans="1:8" ht="30" customHeight="1" x14ac:dyDescent="0.25">
      <c r="A112" s="9"/>
      <c r="B112" s="8" t="s">
        <v>105</v>
      </c>
      <c r="C112" s="113">
        <v>26000</v>
      </c>
      <c r="D112" s="113">
        <v>23728.080000000002</v>
      </c>
      <c r="E112" s="207">
        <f t="shared" si="5"/>
        <v>0.9126184615384616</v>
      </c>
      <c r="F112" s="82">
        <v>21300</v>
      </c>
    </row>
    <row r="113" spans="1:9" ht="30" customHeight="1" x14ac:dyDescent="0.25">
      <c r="A113" s="9" t="s">
        <v>1</v>
      </c>
      <c r="B113" s="8" t="s">
        <v>177</v>
      </c>
      <c r="C113" s="113">
        <v>141319</v>
      </c>
      <c r="D113" s="113">
        <f>2000+113500+5500+14890</f>
        <v>135890</v>
      </c>
      <c r="E113" s="207">
        <f t="shared" si="5"/>
        <v>0.96158336812459755</v>
      </c>
      <c r="F113" s="82">
        <v>35000</v>
      </c>
      <c r="H113" s="139"/>
      <c r="I113" s="139"/>
    </row>
    <row r="114" spans="1:9" ht="30" customHeight="1" x14ac:dyDescent="0.25">
      <c r="A114" s="9"/>
      <c r="B114" s="8" t="s">
        <v>178</v>
      </c>
      <c r="C114" s="113"/>
      <c r="D114" s="113"/>
      <c r="E114" s="207"/>
      <c r="F114" s="82"/>
    </row>
    <row r="115" spans="1:9" ht="30" customHeight="1" x14ac:dyDescent="0.25">
      <c r="A115" s="9"/>
      <c r="B115" s="8" t="s">
        <v>108</v>
      </c>
      <c r="C115" s="113">
        <v>46000</v>
      </c>
      <c r="D115" s="113">
        <v>47470.9</v>
      </c>
      <c r="E115" s="207">
        <f t="shared" si="5"/>
        <v>1.0319760869565218</v>
      </c>
      <c r="F115" s="82">
        <v>40000</v>
      </c>
    </row>
    <row r="116" spans="1:9" ht="30" customHeight="1" x14ac:dyDescent="0.25">
      <c r="A116" s="9"/>
      <c r="B116" s="8" t="s">
        <v>109</v>
      </c>
      <c r="C116" s="113"/>
      <c r="D116" s="113"/>
      <c r="E116" s="207"/>
      <c r="F116" s="82"/>
    </row>
    <row r="117" spans="1:9" ht="30" customHeight="1" x14ac:dyDescent="0.25">
      <c r="A117" s="9"/>
      <c r="B117" s="8" t="s">
        <v>110</v>
      </c>
      <c r="C117" s="113"/>
      <c r="D117" s="113"/>
      <c r="E117" s="207"/>
      <c r="F117" s="82"/>
    </row>
    <row r="118" spans="1:9" ht="30" customHeight="1" x14ac:dyDescent="0.25">
      <c r="A118" s="9"/>
      <c r="B118" s="8" t="s">
        <v>188</v>
      </c>
      <c r="C118" s="113"/>
      <c r="D118" s="113"/>
      <c r="E118" s="207"/>
      <c r="F118" s="82"/>
    </row>
    <row r="119" spans="1:9" ht="30" customHeight="1" x14ac:dyDescent="0.25">
      <c r="A119" s="9"/>
      <c r="B119" s="8" t="s">
        <v>111</v>
      </c>
      <c r="C119" s="113"/>
      <c r="D119" s="113"/>
      <c r="E119" s="207"/>
      <c r="F119" s="82"/>
    </row>
    <row r="120" spans="1:9" ht="30" customHeight="1" x14ac:dyDescent="0.25">
      <c r="A120" s="9"/>
      <c r="B120" s="8"/>
      <c r="C120" s="113"/>
      <c r="D120" s="113"/>
      <c r="E120" s="207"/>
      <c r="F120" s="82"/>
    </row>
    <row r="121" spans="1:9" ht="30" customHeight="1" x14ac:dyDescent="0.25">
      <c r="A121" s="9"/>
      <c r="B121" s="8" t="s">
        <v>114</v>
      </c>
      <c r="C121" s="113"/>
      <c r="D121" s="113"/>
      <c r="E121" s="207"/>
      <c r="F121" s="82"/>
    </row>
    <row r="122" spans="1:9" ht="30" customHeight="1" x14ac:dyDescent="0.25">
      <c r="A122" s="9"/>
      <c r="B122" s="8" t="s">
        <v>115</v>
      </c>
      <c r="C122" s="113">
        <v>0</v>
      </c>
      <c r="D122" s="113">
        <f>840</f>
        <v>840</v>
      </c>
      <c r="E122" s="207" t="e">
        <f t="shared" si="5"/>
        <v>#DIV/0!</v>
      </c>
      <c r="F122" s="82">
        <v>0</v>
      </c>
    </row>
    <row r="123" spans="1:9" ht="30" customHeight="1" x14ac:dyDescent="0.25">
      <c r="A123" s="9"/>
      <c r="B123" s="8" t="s">
        <v>116</v>
      </c>
      <c r="C123" s="113">
        <v>0</v>
      </c>
      <c r="D123" s="113"/>
      <c r="E123" s="207" t="e">
        <f t="shared" si="5"/>
        <v>#DIV/0!</v>
      </c>
      <c r="F123" s="82">
        <v>0</v>
      </c>
    </row>
    <row r="124" spans="1:9" ht="30" customHeight="1" x14ac:dyDescent="0.25">
      <c r="A124" s="9"/>
      <c r="B124" s="8" t="s">
        <v>117</v>
      </c>
      <c r="C124" s="113"/>
      <c r="D124" s="113"/>
      <c r="E124" s="207"/>
      <c r="F124" s="82"/>
    </row>
    <row r="125" spans="1:9" ht="30" customHeight="1" x14ac:dyDescent="0.25">
      <c r="A125" s="9"/>
      <c r="B125" s="8" t="s">
        <v>118</v>
      </c>
      <c r="C125" s="113"/>
      <c r="D125" s="113"/>
      <c r="E125" s="207"/>
      <c r="F125" s="82">
        <v>500</v>
      </c>
    </row>
    <row r="126" spans="1:9" s="52" customFormat="1" ht="30" customHeight="1" x14ac:dyDescent="0.25">
      <c r="A126" s="54" t="s">
        <v>23</v>
      </c>
      <c r="B126" s="55" t="s">
        <v>119</v>
      </c>
      <c r="C126" s="117">
        <f>C127+C128</f>
        <v>16924</v>
      </c>
      <c r="D126" s="117">
        <f>D127+D128</f>
        <v>16377.27</v>
      </c>
      <c r="E126" s="210">
        <f t="shared" si="5"/>
        <v>0.9676949893642165</v>
      </c>
      <c r="F126" s="94">
        <f>F127+F128</f>
        <v>49580</v>
      </c>
      <c r="G126" s="6"/>
      <c r="H126" s="137"/>
    </row>
    <row r="127" spans="1:9" ht="30" customHeight="1" x14ac:dyDescent="0.25">
      <c r="A127" s="9"/>
      <c r="B127" s="8" t="s">
        <v>120</v>
      </c>
      <c r="C127" s="113"/>
      <c r="D127" s="113"/>
      <c r="E127" s="207"/>
      <c r="F127" s="82">
        <v>0</v>
      </c>
    </row>
    <row r="128" spans="1:9" ht="30" customHeight="1" x14ac:dyDescent="0.25">
      <c r="A128" s="9"/>
      <c r="B128" s="8" t="s">
        <v>179</v>
      </c>
      <c r="C128" s="113">
        <v>16924</v>
      </c>
      <c r="D128" s="113">
        <v>16377.27</v>
      </c>
      <c r="E128" s="207">
        <f t="shared" si="5"/>
        <v>0.9676949893642165</v>
      </c>
      <c r="F128" s="82">
        <v>49580</v>
      </c>
    </row>
    <row r="129" spans="1:8" s="52" customFormat="1" ht="30" customHeight="1" x14ac:dyDescent="0.25">
      <c r="A129" s="54" t="s">
        <v>25</v>
      </c>
      <c r="B129" s="55" t="s">
        <v>122</v>
      </c>
      <c r="C129" s="117">
        <f>C130+C131+C132+C133</f>
        <v>0</v>
      </c>
      <c r="D129" s="117">
        <f>D130+D131+D132+D133</f>
        <v>0</v>
      </c>
      <c r="E129" s="210" t="e">
        <f t="shared" si="5"/>
        <v>#DIV/0!</v>
      </c>
      <c r="F129" s="94">
        <f t="shared" ref="F129" si="10">F130+F131+F132+F133</f>
        <v>0</v>
      </c>
    </row>
    <row r="130" spans="1:8" s="43" customFormat="1" ht="30" customHeight="1" x14ac:dyDescent="0.25">
      <c r="A130" s="44"/>
      <c r="B130" s="18" t="s">
        <v>123</v>
      </c>
      <c r="C130" s="113"/>
      <c r="D130" s="113"/>
      <c r="E130" s="207"/>
      <c r="F130" s="82"/>
    </row>
    <row r="131" spans="1:8" ht="51" customHeight="1" x14ac:dyDescent="0.25">
      <c r="A131" s="9"/>
      <c r="B131" s="8" t="s">
        <v>124</v>
      </c>
      <c r="C131" s="113"/>
      <c r="D131" s="113"/>
      <c r="E131" s="207"/>
      <c r="F131" s="82"/>
    </row>
    <row r="132" spans="1:8" ht="30" customHeight="1" x14ac:dyDescent="0.25">
      <c r="A132" s="9"/>
      <c r="B132" s="8" t="s">
        <v>125</v>
      </c>
      <c r="C132" s="113"/>
      <c r="D132" s="113"/>
      <c r="E132" s="207"/>
      <c r="F132" s="82"/>
    </row>
    <row r="133" spans="1:8" ht="30" customHeight="1" x14ac:dyDescent="0.25">
      <c r="A133" s="9"/>
      <c r="B133" s="8" t="s">
        <v>126</v>
      </c>
      <c r="C133" s="113"/>
      <c r="D133" s="113"/>
      <c r="E133" s="207"/>
      <c r="F133" s="82"/>
    </row>
    <row r="134" spans="1:8" s="53" customFormat="1" ht="30" customHeight="1" x14ac:dyDescent="0.25">
      <c r="A134" s="85" t="s">
        <v>27</v>
      </c>
      <c r="B134" s="71" t="s">
        <v>128</v>
      </c>
      <c r="C134" s="122">
        <f t="shared" ref="C134" si="11">C9-C29</f>
        <v>834389</v>
      </c>
      <c r="D134" s="123">
        <f t="shared" ref="D134:E134" si="12">D9-D29</f>
        <v>1827526.2600000002</v>
      </c>
      <c r="E134" s="210">
        <f t="shared" si="5"/>
        <v>2.1902568945659642</v>
      </c>
      <c r="F134" s="102">
        <f t="shared" ref="F134" si="13">F9-F29</f>
        <v>500840</v>
      </c>
      <c r="H134" s="142">
        <f>H9-H29</f>
        <v>0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4"/>
  <sheetViews>
    <sheetView topLeftCell="A122" workbookViewId="0">
      <selection activeCell="I126" sqref="I126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19.42578125" style="96" hidden="1" customWidth="1"/>
    <col min="7" max="7" width="19.42578125" style="45" customWidth="1"/>
    <col min="8" max="8" width="17.7109375" style="45" bestFit="1" customWidth="1"/>
    <col min="9" max="9" width="17.7109375" style="45" customWidth="1"/>
    <col min="10" max="10" width="9.140625" style="45"/>
    <col min="11" max="11" width="16.42578125" style="45" bestFit="1" customWidth="1"/>
    <col min="12" max="16384" width="9.140625" style="45"/>
  </cols>
  <sheetData>
    <row r="1" spans="1:8" s="73" customFormat="1" x14ac:dyDescent="0.25">
      <c r="A1" s="10"/>
      <c r="B1" s="13"/>
      <c r="C1" s="23"/>
      <c r="D1" s="23"/>
      <c r="E1" s="23"/>
      <c r="F1" s="97"/>
    </row>
    <row r="2" spans="1:8" s="75" customFormat="1" x14ac:dyDescent="0.25">
      <c r="A2" s="64"/>
      <c r="B2" s="14" t="s">
        <v>0</v>
      </c>
      <c r="C2" s="65"/>
      <c r="D2" s="65"/>
      <c r="E2" s="65"/>
      <c r="F2" s="87"/>
    </row>
    <row r="3" spans="1:8" s="47" customFormat="1" ht="15.75" x14ac:dyDescent="0.25">
      <c r="A3" s="1" t="s">
        <v>1</v>
      </c>
      <c r="B3" s="81" t="s">
        <v>203</v>
      </c>
      <c r="C3" s="25"/>
      <c r="D3" s="25"/>
      <c r="E3" s="25"/>
      <c r="F3" s="88"/>
    </row>
    <row r="4" spans="1:8" s="75" customFormat="1" ht="15.75" x14ac:dyDescent="0.25">
      <c r="A4" s="66"/>
      <c r="B4" s="159" t="s">
        <v>205</v>
      </c>
      <c r="C4" s="159"/>
      <c r="D4" s="159"/>
      <c r="E4" s="159"/>
      <c r="F4" s="89"/>
    </row>
    <row r="5" spans="1:8" s="73" customFormat="1" ht="15.75" x14ac:dyDescent="0.25">
      <c r="A5" s="1"/>
      <c r="B5" s="13"/>
      <c r="C5" s="23"/>
      <c r="D5" s="23"/>
      <c r="E5" s="23"/>
      <c r="F5" s="97"/>
    </row>
    <row r="6" spans="1:8" s="73" customFormat="1" ht="15" customHeight="1" x14ac:dyDescent="0.25">
      <c r="A6" s="160" t="s">
        <v>1</v>
      </c>
      <c r="B6" s="163" t="s">
        <v>2</v>
      </c>
      <c r="C6" s="166" t="s">
        <v>164</v>
      </c>
      <c r="D6" s="166" t="s">
        <v>173</v>
      </c>
      <c r="E6" s="197" t="s">
        <v>199</v>
      </c>
      <c r="F6" s="169" t="s">
        <v>152</v>
      </c>
    </row>
    <row r="7" spans="1:8" s="73" customFormat="1" ht="15" customHeight="1" x14ac:dyDescent="0.25">
      <c r="A7" s="161"/>
      <c r="B7" s="164"/>
      <c r="C7" s="167"/>
      <c r="D7" s="167"/>
      <c r="E7" s="198"/>
      <c r="F7" s="170"/>
    </row>
    <row r="8" spans="1:8" s="73" customFormat="1" ht="37.5" customHeight="1" x14ac:dyDescent="0.25">
      <c r="A8" s="162"/>
      <c r="B8" s="165"/>
      <c r="C8" s="168"/>
      <c r="D8" s="168"/>
      <c r="E8" s="199"/>
      <c r="F8" s="171"/>
    </row>
    <row r="9" spans="1:8" s="73" customFormat="1" ht="30" customHeight="1" x14ac:dyDescent="0.25">
      <c r="A9" s="2" t="s">
        <v>3</v>
      </c>
      <c r="B9" s="15" t="s">
        <v>4</v>
      </c>
      <c r="C9" s="119">
        <f>C10+C11+C12+C13+C14+C15+C16+C17+C18+C19+C20+C21+C22+C23+C24+C25</f>
        <v>13291393</v>
      </c>
      <c r="D9" s="119">
        <f>D10+D11+D12+D13+D14+D15+D16+D17+D18+D19+D20+D21+D22+D23+D24+D25</f>
        <v>13208980.939999998</v>
      </c>
      <c r="E9" s="209">
        <f>D9/C9</f>
        <v>0.99379959196150458</v>
      </c>
      <c r="F9" s="91">
        <f>F10+F11+F12+F13+F14+F15+F16+F17+F18+F19+F20+F21+F22+F23+F24+F25</f>
        <v>8781250</v>
      </c>
      <c r="H9" s="145"/>
    </row>
    <row r="10" spans="1:8" ht="30" customHeight="1" x14ac:dyDescent="0.25">
      <c r="A10" s="35" t="s">
        <v>5</v>
      </c>
      <c r="B10" s="16" t="s">
        <v>6</v>
      </c>
      <c r="C10" s="113">
        <v>0</v>
      </c>
      <c r="D10" s="113"/>
      <c r="E10" s="207"/>
      <c r="F10" s="82"/>
    </row>
    <row r="11" spans="1:8" ht="30" customHeight="1" x14ac:dyDescent="0.25">
      <c r="A11" s="35" t="s">
        <v>7</v>
      </c>
      <c r="B11" s="8" t="s">
        <v>8</v>
      </c>
      <c r="C11" s="113">
        <v>0</v>
      </c>
      <c r="D11" s="113"/>
      <c r="E11" s="207"/>
      <c r="F11" s="82"/>
    </row>
    <row r="12" spans="1:8" ht="30" customHeight="1" x14ac:dyDescent="0.25">
      <c r="A12" s="35" t="s">
        <v>9</v>
      </c>
      <c r="B12" s="8" t="s">
        <v>10</v>
      </c>
      <c r="C12" s="113">
        <v>0</v>
      </c>
      <c r="D12" s="113"/>
      <c r="E12" s="207"/>
      <c r="F12" s="82"/>
    </row>
    <row r="13" spans="1:8" ht="30" customHeight="1" x14ac:dyDescent="0.25">
      <c r="A13" s="35" t="s">
        <v>11</v>
      </c>
      <c r="B13" s="8" t="s">
        <v>192</v>
      </c>
      <c r="C13" s="113">
        <v>12409411</v>
      </c>
      <c r="D13" s="113">
        <f>12091425.61-32780.9-564027.77-3025288.34</f>
        <v>8469328.5999999996</v>
      </c>
      <c r="E13" s="207">
        <f t="shared" ref="E10:E25" si="0">D13/C13</f>
        <v>0.68249239226583758</v>
      </c>
      <c r="F13" s="82">
        <v>6400000</v>
      </c>
      <c r="H13" s="147"/>
    </row>
    <row r="14" spans="1:8" ht="30" customHeight="1" x14ac:dyDescent="0.25">
      <c r="A14" s="35" t="s">
        <v>15</v>
      </c>
      <c r="B14" s="8" t="s">
        <v>193</v>
      </c>
      <c r="C14" s="113"/>
      <c r="D14" s="113">
        <v>3025288.34</v>
      </c>
      <c r="E14" s="207" t="e">
        <f t="shared" si="0"/>
        <v>#DIV/0!</v>
      </c>
      <c r="F14" s="82">
        <v>1719200</v>
      </c>
      <c r="H14" s="157"/>
    </row>
    <row r="15" spans="1:8" ht="30" customHeight="1" x14ac:dyDescent="0.25">
      <c r="A15" s="35" t="s">
        <v>19</v>
      </c>
      <c r="B15" s="8" t="s">
        <v>194</v>
      </c>
      <c r="C15" s="113">
        <v>0</v>
      </c>
      <c r="D15" s="113">
        <f>188590.04+95510+248222.38+633.8+6086.6+11764.95+12840+380</f>
        <v>564027.77</v>
      </c>
      <c r="E15" s="207" t="e">
        <f t="shared" si="0"/>
        <v>#DIV/0!</v>
      </c>
      <c r="F15" s="82"/>
    </row>
    <row r="16" spans="1:8" ht="30" customHeight="1" x14ac:dyDescent="0.25">
      <c r="A16" s="35" t="s">
        <v>21</v>
      </c>
      <c r="B16" s="8" t="s">
        <v>16</v>
      </c>
      <c r="C16" s="113">
        <v>0</v>
      </c>
      <c r="D16" s="113"/>
      <c r="E16" s="207"/>
      <c r="F16" s="82"/>
    </row>
    <row r="17" spans="1:11" ht="30" customHeight="1" x14ac:dyDescent="0.25">
      <c r="A17" s="35" t="s">
        <v>23</v>
      </c>
      <c r="B17" s="8" t="s">
        <v>191</v>
      </c>
      <c r="C17" s="113">
        <v>0</v>
      </c>
      <c r="D17" s="113"/>
      <c r="E17" s="207"/>
      <c r="F17" s="82"/>
      <c r="H17" s="79"/>
    </row>
    <row r="18" spans="1:11" ht="30" customHeight="1" x14ac:dyDescent="0.25">
      <c r="A18" s="35" t="s">
        <v>25</v>
      </c>
      <c r="B18" s="8" t="s">
        <v>195</v>
      </c>
      <c r="C18" s="113">
        <v>0</v>
      </c>
      <c r="D18" s="113">
        <v>32780.9</v>
      </c>
      <c r="E18" s="207" t="e">
        <f t="shared" si="0"/>
        <v>#DIV/0!</v>
      </c>
      <c r="F18" s="82"/>
    </row>
    <row r="19" spans="1:11" ht="30" customHeight="1" x14ac:dyDescent="0.25">
      <c r="A19" s="35" t="s">
        <v>27</v>
      </c>
      <c r="B19" s="8"/>
      <c r="C19" s="113">
        <v>0</v>
      </c>
      <c r="D19" s="113"/>
      <c r="E19" s="207"/>
      <c r="F19" s="82"/>
    </row>
    <row r="20" spans="1:11" ht="30" customHeight="1" x14ac:dyDescent="0.25">
      <c r="A20" s="35" t="s">
        <v>29</v>
      </c>
      <c r="B20" s="8" t="s">
        <v>30</v>
      </c>
      <c r="C20" s="113">
        <v>0</v>
      </c>
      <c r="D20" s="113">
        <v>3036.91</v>
      </c>
      <c r="E20" s="207" t="e">
        <f t="shared" si="0"/>
        <v>#DIV/0!</v>
      </c>
      <c r="F20" s="82"/>
    </row>
    <row r="21" spans="1:11" ht="30" customHeight="1" x14ac:dyDescent="0.25">
      <c r="A21" s="35" t="s">
        <v>31</v>
      </c>
      <c r="B21" s="8" t="s">
        <v>196</v>
      </c>
      <c r="C21" s="113">
        <v>0</v>
      </c>
      <c r="D21" s="113"/>
      <c r="E21" s="207"/>
      <c r="F21" s="82"/>
    </row>
    <row r="22" spans="1:11" ht="30" customHeight="1" x14ac:dyDescent="0.25">
      <c r="A22" s="35" t="s">
        <v>33</v>
      </c>
      <c r="B22" s="8" t="s">
        <v>197</v>
      </c>
      <c r="C22" s="113"/>
      <c r="D22" s="113">
        <v>137772.92000000001</v>
      </c>
      <c r="E22" s="207" t="e">
        <f t="shared" si="0"/>
        <v>#DIV/0!</v>
      </c>
      <c r="F22" s="82">
        <v>0</v>
      </c>
      <c r="H22" s="147"/>
    </row>
    <row r="23" spans="1:11" ht="30" customHeight="1" x14ac:dyDescent="0.25">
      <c r="A23" s="35" t="s">
        <v>35</v>
      </c>
      <c r="B23" s="8" t="s">
        <v>32</v>
      </c>
      <c r="C23" s="113">
        <v>11000</v>
      </c>
      <c r="D23" s="113">
        <f>3970.8+7560+257.89</f>
        <v>11788.689999999999</v>
      </c>
      <c r="E23" s="207">
        <f t="shared" si="0"/>
        <v>1.0716990909090909</v>
      </c>
      <c r="F23" s="82">
        <v>33000</v>
      </c>
      <c r="H23" s="147"/>
      <c r="I23" s="150"/>
      <c r="J23" s="6"/>
      <c r="K23" s="6"/>
    </row>
    <row r="24" spans="1:11" ht="30" customHeight="1" x14ac:dyDescent="0.25">
      <c r="A24" s="35" t="s">
        <v>189</v>
      </c>
      <c r="B24" s="8" t="s">
        <v>34</v>
      </c>
      <c r="C24" s="113">
        <v>84800</v>
      </c>
      <c r="D24" s="113">
        <v>87596.35</v>
      </c>
      <c r="E24" s="207">
        <f t="shared" si="0"/>
        <v>1.0329758254716981</v>
      </c>
      <c r="F24" s="82">
        <v>9000</v>
      </c>
      <c r="H24" s="147"/>
    </row>
    <row r="25" spans="1:11" s="79" customFormat="1" ht="30" customHeight="1" x14ac:dyDescent="0.25">
      <c r="A25" s="35" t="s">
        <v>190</v>
      </c>
      <c r="B25" s="8" t="s">
        <v>36</v>
      </c>
      <c r="C25" s="113">
        <v>786182</v>
      </c>
      <c r="D25" s="113">
        <v>877360.46</v>
      </c>
      <c r="E25" s="207">
        <f t="shared" si="0"/>
        <v>1.1159762752136273</v>
      </c>
      <c r="F25" s="82">
        <v>620050</v>
      </c>
      <c r="H25" s="147"/>
      <c r="I25" s="151"/>
      <c r="J25" s="151"/>
    </row>
    <row r="26" spans="1:11" s="73" customFormat="1" ht="30" customHeight="1" x14ac:dyDescent="0.25">
      <c r="A26" s="160" t="s">
        <v>1</v>
      </c>
      <c r="B26" s="175" t="s">
        <v>37</v>
      </c>
      <c r="C26" s="166" t="s">
        <v>164</v>
      </c>
      <c r="D26" s="166" t="s">
        <v>173</v>
      </c>
      <c r="E26" s="197" t="s">
        <v>199</v>
      </c>
      <c r="F26" s="169" t="s">
        <v>152</v>
      </c>
    </row>
    <row r="27" spans="1:11" s="73" customFormat="1" ht="25.5" customHeight="1" x14ac:dyDescent="0.25">
      <c r="A27" s="161"/>
      <c r="B27" s="176"/>
      <c r="C27" s="167"/>
      <c r="D27" s="167"/>
      <c r="E27" s="198"/>
      <c r="F27" s="170"/>
    </row>
    <row r="28" spans="1:11" s="73" customFormat="1" ht="16.5" customHeight="1" x14ac:dyDescent="0.25">
      <c r="A28" s="162"/>
      <c r="B28" s="177"/>
      <c r="C28" s="168"/>
      <c r="D28" s="168"/>
      <c r="E28" s="199"/>
      <c r="F28" s="171"/>
    </row>
    <row r="29" spans="1:11" s="73" customFormat="1" ht="30" customHeight="1" x14ac:dyDescent="0.25">
      <c r="A29" s="4" t="s">
        <v>38</v>
      </c>
      <c r="B29" s="17" t="s">
        <v>39</v>
      </c>
      <c r="C29" s="120">
        <f>C31+C48+C99+C101+C105+C109+C126+C129+C107</f>
        <v>11584560</v>
      </c>
      <c r="D29" s="120">
        <f>D31+D48+D99+D101+D105+D109+D126+D129+D107</f>
        <v>11700969.209999999</v>
      </c>
      <c r="E29" s="210">
        <f>D29/C29</f>
        <v>1.0100486518262237</v>
      </c>
      <c r="F29" s="92">
        <f t="shared" ref="E29:F29" si="1">F31+F48+F99+F101+F105+F109+F126+F129+F107</f>
        <v>8820765</v>
      </c>
      <c r="H29" s="145">
        <f>H31+H48+H99+H101+H126+H129+H109+H106</f>
        <v>0</v>
      </c>
    </row>
    <row r="30" spans="1:11" ht="30" customHeight="1" x14ac:dyDescent="0.25">
      <c r="A30" s="39"/>
      <c r="B30" s="16"/>
      <c r="C30" s="113"/>
      <c r="D30" s="113"/>
      <c r="E30" s="201"/>
      <c r="F30" s="82"/>
    </row>
    <row r="31" spans="1:11" s="75" customFormat="1" ht="30" customHeight="1" x14ac:dyDescent="0.25">
      <c r="A31" s="49" t="s">
        <v>5</v>
      </c>
      <c r="B31" s="50" t="s">
        <v>40</v>
      </c>
      <c r="C31" s="116">
        <f>C32+C33+C34+C35+C36+C37+C38+C39+C40+C41+C42+C43+C44+C45+C46+C47</f>
        <v>879515</v>
      </c>
      <c r="D31" s="116">
        <f>D32+D33+D34+D35+D36+D37+D38+D39+D40+D41+D42+D43+D44+D45+D46+D47</f>
        <v>880744.82</v>
      </c>
      <c r="E31" s="204">
        <f>D31/C31</f>
        <v>1.0013982933776</v>
      </c>
      <c r="F31" s="93">
        <f t="shared" ref="F31" si="2">F32+F33+F34+F35+F36+F37+F38+F39+F40+F41+F42+F43+F44+F45+F46+F47</f>
        <v>638090</v>
      </c>
      <c r="H31" s="143"/>
    </row>
    <row r="32" spans="1:11" s="72" customFormat="1" ht="30" customHeight="1" x14ac:dyDescent="0.25">
      <c r="A32" s="42"/>
      <c r="B32" s="18" t="s">
        <v>41</v>
      </c>
      <c r="C32" s="113">
        <v>26000</v>
      </c>
      <c r="D32" s="113">
        <v>22152.86</v>
      </c>
      <c r="E32" s="208">
        <f t="shared" ref="E32:E95" si="3">D32/C32</f>
        <v>0.85203307692307695</v>
      </c>
      <c r="F32" s="82">
        <v>19620</v>
      </c>
      <c r="H32" s="148"/>
    </row>
    <row r="33" spans="1:8" s="72" customFormat="1" ht="30" customHeight="1" x14ac:dyDescent="0.25">
      <c r="A33" s="42"/>
      <c r="B33" s="18" t="s">
        <v>42</v>
      </c>
      <c r="C33" s="113">
        <v>14000</v>
      </c>
      <c r="D33" s="113">
        <v>17345.21</v>
      </c>
      <c r="E33" s="208">
        <f t="shared" si="3"/>
        <v>1.2389435714285713</v>
      </c>
      <c r="F33" s="82">
        <v>11670</v>
      </c>
      <c r="H33" s="148"/>
    </row>
    <row r="34" spans="1:8" ht="30" customHeight="1" x14ac:dyDescent="0.25">
      <c r="A34" s="9" t="s">
        <v>1</v>
      </c>
      <c r="B34" s="8" t="s">
        <v>198</v>
      </c>
      <c r="C34" s="113">
        <v>15000</v>
      </c>
      <c r="D34" s="113">
        <f>12512.89+940</f>
        <v>13452.89</v>
      </c>
      <c r="E34" s="208">
        <f t="shared" si="3"/>
        <v>0.89685933333333334</v>
      </c>
      <c r="F34" s="82">
        <v>16000</v>
      </c>
      <c r="H34" s="147"/>
    </row>
    <row r="35" spans="1:8" ht="30" customHeight="1" x14ac:dyDescent="0.25">
      <c r="A35" s="9"/>
      <c r="B35" s="8" t="s">
        <v>44</v>
      </c>
      <c r="C35" s="113">
        <v>65000</v>
      </c>
      <c r="D35" s="113">
        <f>76523.96</f>
        <v>76523.960000000006</v>
      </c>
      <c r="E35" s="208">
        <f t="shared" si="3"/>
        <v>1.1772916923076924</v>
      </c>
      <c r="F35" s="82">
        <v>40000</v>
      </c>
      <c r="H35" s="147"/>
    </row>
    <row r="36" spans="1:8" ht="30" customHeight="1" x14ac:dyDescent="0.25">
      <c r="A36" s="9"/>
      <c r="B36" s="8" t="s">
        <v>45</v>
      </c>
      <c r="C36" s="113">
        <v>1200</v>
      </c>
      <c r="D36" s="113">
        <f>1041.15+150</f>
        <v>1191.1500000000001</v>
      </c>
      <c r="E36" s="208">
        <f t="shared" si="3"/>
        <v>0.99262500000000009</v>
      </c>
      <c r="F36" s="82">
        <v>1200</v>
      </c>
      <c r="H36" s="147"/>
    </row>
    <row r="37" spans="1:8" ht="30" customHeight="1" x14ac:dyDescent="0.25">
      <c r="A37" s="9" t="s">
        <v>1</v>
      </c>
      <c r="B37" s="8" t="s">
        <v>46</v>
      </c>
      <c r="C37" s="113">
        <v>10000</v>
      </c>
      <c r="D37" s="113">
        <v>9202.4</v>
      </c>
      <c r="E37" s="208">
        <f t="shared" si="3"/>
        <v>0.92023999999999995</v>
      </c>
      <c r="F37" s="82">
        <v>2100</v>
      </c>
      <c r="H37" s="147"/>
    </row>
    <row r="38" spans="1:8" ht="30" customHeight="1" x14ac:dyDescent="0.25">
      <c r="A38" s="9"/>
      <c r="B38" s="8" t="s">
        <v>47</v>
      </c>
      <c r="C38" s="113">
        <v>110000</v>
      </c>
      <c r="D38" s="113">
        <v>104388</v>
      </c>
      <c r="E38" s="208">
        <f t="shared" si="3"/>
        <v>0.94898181818181815</v>
      </c>
      <c r="F38" s="82">
        <v>160000</v>
      </c>
      <c r="H38" s="147"/>
    </row>
    <row r="39" spans="1:8" ht="30" customHeight="1" x14ac:dyDescent="0.25">
      <c r="A39" s="9"/>
      <c r="B39" s="8" t="s">
        <v>48</v>
      </c>
      <c r="C39" s="113">
        <v>30000</v>
      </c>
      <c r="D39" s="113">
        <v>58487.54</v>
      </c>
      <c r="E39" s="208">
        <f t="shared" si="3"/>
        <v>1.9495846666666667</v>
      </c>
      <c r="F39" s="82">
        <v>70000</v>
      </c>
      <c r="H39" s="147"/>
    </row>
    <row r="40" spans="1:8" ht="30" customHeight="1" x14ac:dyDescent="0.25">
      <c r="A40" s="9"/>
      <c r="B40" s="8" t="s">
        <v>180</v>
      </c>
      <c r="C40" s="113"/>
      <c r="D40" s="113"/>
      <c r="E40" s="208"/>
      <c r="F40" s="82">
        <v>30000</v>
      </c>
      <c r="H40" s="147"/>
    </row>
    <row r="41" spans="1:8" ht="30" customHeight="1" x14ac:dyDescent="0.25">
      <c r="A41" s="9"/>
      <c r="B41" s="8" t="s">
        <v>49</v>
      </c>
      <c r="C41" s="113">
        <v>30000</v>
      </c>
      <c r="D41" s="113">
        <v>30402</v>
      </c>
      <c r="E41" s="208">
        <f t="shared" si="3"/>
        <v>1.0134000000000001</v>
      </c>
      <c r="F41" s="82"/>
    </row>
    <row r="42" spans="1:8" ht="30" customHeight="1" x14ac:dyDescent="0.25">
      <c r="A42" s="9"/>
      <c r="B42" s="8" t="s">
        <v>133</v>
      </c>
      <c r="C42" s="113"/>
      <c r="D42" s="113"/>
      <c r="E42" s="208"/>
      <c r="F42" s="82">
        <v>12000</v>
      </c>
      <c r="H42" s="147"/>
    </row>
    <row r="43" spans="1:8" ht="30" customHeight="1" x14ac:dyDescent="0.25">
      <c r="A43" s="9"/>
      <c r="B43" s="8" t="s">
        <v>139</v>
      </c>
      <c r="C43" s="113">
        <v>16000</v>
      </c>
      <c r="D43" s="113">
        <v>15150.49</v>
      </c>
      <c r="E43" s="208">
        <f t="shared" si="3"/>
        <v>0.94690562499999997</v>
      </c>
      <c r="F43" s="82">
        <v>500</v>
      </c>
    </row>
    <row r="44" spans="1:8" ht="30" customHeight="1" x14ac:dyDescent="0.25">
      <c r="A44" s="9"/>
      <c r="B44" s="8" t="s">
        <v>50</v>
      </c>
      <c r="C44" s="113">
        <v>4500</v>
      </c>
      <c r="D44" s="113"/>
      <c r="E44" s="208">
        <f t="shared" si="3"/>
        <v>0</v>
      </c>
      <c r="F44" s="82"/>
      <c r="H44" s="147"/>
    </row>
    <row r="45" spans="1:8" ht="30" customHeight="1" x14ac:dyDescent="0.25">
      <c r="A45" s="9"/>
      <c r="B45" s="8" t="s">
        <v>51</v>
      </c>
      <c r="C45" s="113">
        <v>50000</v>
      </c>
      <c r="D45" s="113">
        <v>28978.22</v>
      </c>
      <c r="E45" s="208">
        <f t="shared" si="3"/>
        <v>0.57956439999999998</v>
      </c>
      <c r="F45" s="82"/>
    </row>
    <row r="46" spans="1:8" ht="30" customHeight="1" x14ac:dyDescent="0.25">
      <c r="A46" s="9"/>
      <c r="B46" s="8" t="s">
        <v>134</v>
      </c>
      <c r="C46" s="113">
        <v>0</v>
      </c>
      <c r="D46" s="113"/>
      <c r="E46" s="208"/>
      <c r="F46" s="82"/>
    </row>
    <row r="47" spans="1:8" ht="30" customHeight="1" x14ac:dyDescent="0.25">
      <c r="A47" s="9"/>
      <c r="B47" s="8" t="s">
        <v>52</v>
      </c>
      <c r="C47" s="113">
        <v>507815</v>
      </c>
      <c r="D47" s="113">
        <v>503470.1</v>
      </c>
      <c r="E47" s="208">
        <f t="shared" si="3"/>
        <v>0.99144393135295328</v>
      </c>
      <c r="F47" s="82">
        <v>275000</v>
      </c>
      <c r="H47" s="147"/>
    </row>
    <row r="48" spans="1:8" s="75" customFormat="1" ht="30" customHeight="1" x14ac:dyDescent="0.25">
      <c r="A48" s="49" t="s">
        <v>7</v>
      </c>
      <c r="B48" s="50" t="s">
        <v>53</v>
      </c>
      <c r="C48" s="116">
        <f>C49+C50+C51+C52+C53+C54+C55+C56+C57+C58+C59+C60+C61+C62+C63+C64+C65+C66+C67+C68+C69+C70+C71+C72+C73+C75+C76+C77+C78+C79+C80+C81+C82+C83+C84+C85+C86+C87+C88+C89+C90+C91+C92+C93+C94+C95+C96+C97+C98+C74</f>
        <v>4425768</v>
      </c>
      <c r="D48" s="116">
        <f>D49+D50+D51+D52+D53+D54+D55+D56+D57+D58+D59+D60+D61+D62+D63+D64+D65+D66+D67+D68+D69+D70+D71+D72+D73+D75+D76+D77+D78+D79+D80+D81+D82+D83+D84+D85+D86+D87+D88+D89+D90+D91+D92+D93+D94+D95+D96+D97+D98+D74</f>
        <v>4085112.2399999998</v>
      </c>
      <c r="E48" s="204">
        <f t="shared" si="3"/>
        <v>0.92302900649107678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3398225</v>
      </c>
      <c r="H48" s="143"/>
    </row>
    <row r="49" spans="1:8" ht="30" customHeight="1" x14ac:dyDescent="0.25">
      <c r="A49" s="9"/>
      <c r="B49" s="8" t="s">
        <v>54</v>
      </c>
      <c r="C49" s="113">
        <v>21000</v>
      </c>
      <c r="D49" s="113">
        <v>15962.29</v>
      </c>
      <c r="E49" s="208">
        <f t="shared" si="3"/>
        <v>0.76010904761904763</v>
      </c>
      <c r="F49" s="82">
        <v>33000</v>
      </c>
      <c r="H49" s="147"/>
    </row>
    <row r="50" spans="1:8" ht="30" customHeight="1" x14ac:dyDescent="0.25">
      <c r="A50" s="9"/>
      <c r="B50" s="8" t="s">
        <v>176</v>
      </c>
      <c r="C50" s="113">
        <v>75000</v>
      </c>
      <c r="D50" s="113">
        <f>71556+2304</f>
        <v>73860</v>
      </c>
      <c r="E50" s="208">
        <f t="shared" si="3"/>
        <v>0.98480000000000001</v>
      </c>
      <c r="F50" s="82">
        <v>46200</v>
      </c>
      <c r="H50" s="147"/>
    </row>
    <row r="51" spans="1:8" ht="30" customHeight="1" x14ac:dyDescent="0.25">
      <c r="A51" s="9"/>
      <c r="B51" s="8" t="s">
        <v>56</v>
      </c>
      <c r="C51" s="113">
        <v>100</v>
      </c>
      <c r="D51" s="113">
        <v>45.2</v>
      </c>
      <c r="E51" s="208">
        <f t="shared" si="3"/>
        <v>0.45200000000000001</v>
      </c>
      <c r="F51" s="82"/>
      <c r="H51" s="147"/>
    </row>
    <row r="52" spans="1:8" ht="30" customHeight="1" x14ac:dyDescent="0.25">
      <c r="A52" s="9"/>
      <c r="B52" s="8" t="s">
        <v>57</v>
      </c>
      <c r="C52" s="113">
        <v>4500</v>
      </c>
      <c r="D52" s="113">
        <v>5070</v>
      </c>
      <c r="E52" s="208">
        <f t="shared" si="3"/>
        <v>1.1266666666666667</v>
      </c>
      <c r="F52" s="82">
        <v>3000</v>
      </c>
      <c r="H52" s="147"/>
    </row>
    <row r="53" spans="1:8" ht="30" customHeight="1" x14ac:dyDescent="0.25">
      <c r="A53" s="9"/>
      <c r="B53" s="8" t="s">
        <v>58</v>
      </c>
      <c r="C53" s="113">
        <v>32000</v>
      </c>
      <c r="D53" s="113">
        <v>37206</v>
      </c>
      <c r="E53" s="208">
        <f t="shared" si="3"/>
        <v>1.1626875000000001</v>
      </c>
      <c r="F53" s="82">
        <v>42000</v>
      </c>
      <c r="H53" s="147"/>
    </row>
    <row r="54" spans="1:8" ht="30" customHeight="1" x14ac:dyDescent="0.25">
      <c r="A54" s="9"/>
      <c r="B54" s="8" t="s">
        <v>59</v>
      </c>
      <c r="C54" s="113">
        <v>22000</v>
      </c>
      <c r="D54" s="113">
        <v>21130.1</v>
      </c>
      <c r="E54" s="208">
        <f t="shared" si="3"/>
        <v>0.96045909090909087</v>
      </c>
      <c r="F54" s="82">
        <v>4940</v>
      </c>
      <c r="H54" s="147"/>
    </row>
    <row r="55" spans="1:8" ht="30" customHeight="1" x14ac:dyDescent="0.25">
      <c r="A55" s="9"/>
      <c r="B55" s="19" t="s">
        <v>60</v>
      </c>
      <c r="C55" s="113">
        <v>457188</v>
      </c>
      <c r="D55" s="113">
        <f>425531.22+600</f>
        <v>426131.22</v>
      </c>
      <c r="E55" s="208">
        <f t="shared" si="3"/>
        <v>0.93207000183731847</v>
      </c>
      <c r="F55" s="82">
        <v>642800</v>
      </c>
      <c r="H55" s="147"/>
    </row>
    <row r="56" spans="1:8" ht="30" customHeight="1" x14ac:dyDescent="0.25">
      <c r="A56" s="9"/>
      <c r="B56" s="19" t="s">
        <v>61</v>
      </c>
      <c r="C56" s="113">
        <v>600</v>
      </c>
      <c r="D56" s="113">
        <v>450</v>
      </c>
      <c r="E56" s="208">
        <f t="shared" si="3"/>
        <v>0.75</v>
      </c>
      <c r="F56" s="82"/>
      <c r="H56" s="147"/>
    </row>
    <row r="57" spans="1:8" ht="30" customHeight="1" x14ac:dyDescent="0.25">
      <c r="A57" s="9"/>
      <c r="B57" s="8" t="s">
        <v>62</v>
      </c>
      <c r="C57" s="113">
        <v>150</v>
      </c>
      <c r="D57" s="113">
        <v>10462</v>
      </c>
      <c r="E57" s="208">
        <f t="shared" si="3"/>
        <v>69.74666666666667</v>
      </c>
      <c r="F57" s="82">
        <v>5080</v>
      </c>
      <c r="H57" s="147"/>
    </row>
    <row r="58" spans="1:8" ht="30" customHeight="1" x14ac:dyDescent="0.25">
      <c r="A58" s="9"/>
      <c r="B58" s="8" t="s">
        <v>135</v>
      </c>
      <c r="C58" s="113"/>
      <c r="D58" s="113"/>
      <c r="E58" s="208"/>
      <c r="F58" s="82">
        <v>0</v>
      </c>
      <c r="H58" s="147"/>
    </row>
    <row r="59" spans="1:8" ht="30" customHeight="1" x14ac:dyDescent="0.25">
      <c r="A59" s="9"/>
      <c r="B59" s="8"/>
      <c r="C59" s="113"/>
      <c r="D59" s="113"/>
      <c r="E59" s="208"/>
      <c r="F59" s="82"/>
      <c r="H59" s="147"/>
    </row>
    <row r="60" spans="1:8" ht="30" customHeight="1" x14ac:dyDescent="0.25">
      <c r="A60" s="9"/>
      <c r="B60" s="8" t="s">
        <v>63</v>
      </c>
      <c r="C60" s="113">
        <v>35000</v>
      </c>
      <c r="D60" s="113">
        <v>33580</v>
      </c>
      <c r="E60" s="208">
        <f t="shared" si="3"/>
        <v>0.95942857142857141</v>
      </c>
      <c r="F60" s="82">
        <v>15000</v>
      </c>
      <c r="H60" s="147"/>
    </row>
    <row r="61" spans="1:8" ht="30" customHeight="1" x14ac:dyDescent="0.25">
      <c r="A61" s="9"/>
      <c r="B61" s="8" t="s">
        <v>64</v>
      </c>
      <c r="C61" s="113">
        <v>13000</v>
      </c>
      <c r="D61" s="113">
        <v>16150</v>
      </c>
      <c r="E61" s="208">
        <f t="shared" si="3"/>
        <v>1.2423076923076923</v>
      </c>
      <c r="F61" s="82">
        <v>8400</v>
      </c>
      <c r="H61" s="147"/>
    </row>
    <row r="62" spans="1:8" ht="30" customHeight="1" x14ac:dyDescent="0.25">
      <c r="A62" s="9"/>
      <c r="B62" s="8" t="s">
        <v>65</v>
      </c>
      <c r="C62" s="113">
        <v>3000</v>
      </c>
      <c r="D62" s="113">
        <v>2450.4899999999998</v>
      </c>
      <c r="E62" s="208">
        <f t="shared" si="3"/>
        <v>0.81682999999999995</v>
      </c>
      <c r="F62" s="82">
        <v>2500</v>
      </c>
      <c r="H62" s="147"/>
    </row>
    <row r="63" spans="1:8" ht="30" customHeight="1" x14ac:dyDescent="0.25">
      <c r="A63" s="9"/>
      <c r="B63" s="8" t="s">
        <v>136</v>
      </c>
      <c r="C63" s="113">
        <v>0</v>
      </c>
      <c r="D63" s="113"/>
      <c r="E63" s="208"/>
      <c r="F63" s="82"/>
      <c r="H63" s="147"/>
    </row>
    <row r="64" spans="1:8" ht="30" customHeight="1" x14ac:dyDescent="0.25">
      <c r="A64" s="9"/>
      <c r="B64" s="8"/>
      <c r="C64" s="113">
        <v>0</v>
      </c>
      <c r="D64" s="113"/>
      <c r="E64" s="208"/>
      <c r="F64" s="82"/>
      <c r="H64" s="147"/>
    </row>
    <row r="65" spans="1:9" ht="30" customHeight="1" x14ac:dyDescent="0.25">
      <c r="A65" s="9"/>
      <c r="B65" s="8" t="s">
        <v>66</v>
      </c>
      <c r="C65" s="113">
        <v>75000</v>
      </c>
      <c r="D65" s="113">
        <v>73550.490000000005</v>
      </c>
      <c r="E65" s="208">
        <f t="shared" si="3"/>
        <v>0.98067320000000002</v>
      </c>
      <c r="F65" s="82">
        <v>55000</v>
      </c>
      <c r="H65" s="147"/>
    </row>
    <row r="66" spans="1:9" ht="30" customHeight="1" x14ac:dyDescent="0.25">
      <c r="A66" s="9"/>
      <c r="B66" s="8" t="s">
        <v>67</v>
      </c>
      <c r="C66" s="113">
        <v>2500</v>
      </c>
      <c r="D66" s="113">
        <v>2420.71</v>
      </c>
      <c r="E66" s="208">
        <f t="shared" si="3"/>
        <v>0.96828400000000003</v>
      </c>
      <c r="F66" s="82">
        <v>1600</v>
      </c>
      <c r="H66" s="147"/>
    </row>
    <row r="67" spans="1:9" ht="30" customHeight="1" x14ac:dyDescent="0.25">
      <c r="A67" s="9"/>
      <c r="B67" s="8" t="s">
        <v>68</v>
      </c>
      <c r="C67" s="113"/>
      <c r="D67" s="113"/>
      <c r="E67" s="208"/>
      <c r="F67" s="82"/>
      <c r="H67" s="147"/>
    </row>
    <row r="68" spans="1:9" ht="30" customHeight="1" x14ac:dyDescent="0.25">
      <c r="A68" s="9"/>
      <c r="B68" s="8" t="s">
        <v>137</v>
      </c>
      <c r="C68" s="113"/>
      <c r="D68" s="113"/>
      <c r="E68" s="208"/>
      <c r="F68" s="82"/>
      <c r="H68" s="147"/>
    </row>
    <row r="69" spans="1:9" ht="30" customHeight="1" x14ac:dyDescent="0.25">
      <c r="A69" s="9"/>
      <c r="B69" s="8" t="s">
        <v>138</v>
      </c>
      <c r="C69" s="113"/>
      <c r="D69" s="113"/>
      <c r="E69" s="208"/>
      <c r="F69" s="82"/>
      <c r="H69" s="147"/>
    </row>
    <row r="70" spans="1:9" ht="30" customHeight="1" x14ac:dyDescent="0.25">
      <c r="A70" s="9"/>
      <c r="B70" s="8" t="s">
        <v>69</v>
      </c>
      <c r="C70" s="113"/>
      <c r="D70" s="113"/>
      <c r="E70" s="208"/>
      <c r="F70" s="82">
        <v>10130</v>
      </c>
      <c r="H70" s="147"/>
    </row>
    <row r="71" spans="1:9" ht="30" customHeight="1" x14ac:dyDescent="0.25">
      <c r="A71" s="9"/>
      <c r="B71" s="8" t="s">
        <v>70</v>
      </c>
      <c r="C71" s="113">
        <v>5000</v>
      </c>
      <c r="D71" s="113">
        <v>3998.75</v>
      </c>
      <c r="E71" s="208">
        <f t="shared" si="3"/>
        <v>0.79974999999999996</v>
      </c>
      <c r="F71" s="82"/>
      <c r="H71" s="147"/>
    </row>
    <row r="72" spans="1:9" ht="30" customHeight="1" x14ac:dyDescent="0.25">
      <c r="A72" s="9"/>
      <c r="B72" s="8" t="s">
        <v>71</v>
      </c>
      <c r="C72" s="113">
        <v>0</v>
      </c>
      <c r="D72" s="113"/>
      <c r="E72" s="208"/>
      <c r="F72" s="82"/>
      <c r="H72" s="147"/>
    </row>
    <row r="73" spans="1:9" ht="30" customHeight="1" x14ac:dyDescent="0.25">
      <c r="A73" s="9"/>
      <c r="B73" s="8" t="s">
        <v>72</v>
      </c>
      <c r="C73" s="113"/>
      <c r="D73" s="113"/>
      <c r="E73" s="208"/>
      <c r="F73" s="82">
        <v>0</v>
      </c>
      <c r="H73" s="147"/>
    </row>
    <row r="74" spans="1:9" ht="30" customHeight="1" x14ac:dyDescent="0.25">
      <c r="A74" s="9"/>
      <c r="B74" s="8" t="s">
        <v>73</v>
      </c>
      <c r="C74" s="113">
        <v>12500</v>
      </c>
      <c r="D74" s="113"/>
      <c r="E74" s="208">
        <f t="shared" si="3"/>
        <v>0</v>
      </c>
      <c r="F74" s="82"/>
      <c r="H74" s="147"/>
    </row>
    <row r="75" spans="1:9" ht="30" customHeight="1" x14ac:dyDescent="0.25">
      <c r="A75" s="9"/>
      <c r="B75" s="8" t="s">
        <v>74</v>
      </c>
      <c r="C75" s="113">
        <v>50000</v>
      </c>
      <c r="D75" s="113">
        <f>38316+10500+12320</f>
        <v>61136</v>
      </c>
      <c r="E75" s="208">
        <f t="shared" si="3"/>
        <v>1.22272</v>
      </c>
      <c r="F75" s="82">
        <v>41000</v>
      </c>
      <c r="H75" s="147"/>
    </row>
    <row r="76" spans="1:9" ht="30" customHeight="1" x14ac:dyDescent="0.25">
      <c r="A76" s="9"/>
      <c r="B76" s="8" t="s">
        <v>75</v>
      </c>
      <c r="C76" s="113"/>
      <c r="D76" s="113"/>
      <c r="E76" s="208"/>
      <c r="F76" s="82"/>
      <c r="H76" s="147"/>
    </row>
    <row r="77" spans="1:9" ht="30" customHeight="1" x14ac:dyDescent="0.25">
      <c r="A77" s="9"/>
      <c r="B77" s="8" t="s">
        <v>76</v>
      </c>
      <c r="C77" s="113"/>
      <c r="D77" s="113"/>
      <c r="E77" s="208"/>
      <c r="F77" s="82"/>
      <c r="H77" s="147"/>
    </row>
    <row r="78" spans="1:9" ht="30" customHeight="1" x14ac:dyDescent="0.25">
      <c r="A78" s="9"/>
      <c r="B78" s="8" t="s">
        <v>77</v>
      </c>
      <c r="C78" s="113">
        <v>30000</v>
      </c>
      <c r="D78" s="113">
        <v>27330.05</v>
      </c>
      <c r="E78" s="208">
        <f t="shared" si="3"/>
        <v>0.9110016666666666</v>
      </c>
      <c r="F78" s="82">
        <v>25000</v>
      </c>
      <c r="H78" s="147"/>
    </row>
    <row r="79" spans="1:9" ht="36.75" customHeight="1" x14ac:dyDescent="0.25">
      <c r="A79" s="9"/>
      <c r="B79" s="8" t="s">
        <v>78</v>
      </c>
      <c r="C79" s="113">
        <v>1500</v>
      </c>
      <c r="D79" s="113">
        <v>1200</v>
      </c>
      <c r="E79" s="208">
        <f t="shared" si="3"/>
        <v>0.8</v>
      </c>
      <c r="F79" s="82">
        <v>1000</v>
      </c>
      <c r="H79" s="147"/>
    </row>
    <row r="80" spans="1:9" ht="30" customHeight="1" x14ac:dyDescent="0.25">
      <c r="A80" s="9"/>
      <c r="B80" s="8" t="s">
        <v>79</v>
      </c>
      <c r="C80" s="113">
        <v>3530000</v>
      </c>
      <c r="D80" s="113">
        <v>3223251.54</v>
      </c>
      <c r="E80" s="208">
        <f t="shared" si="3"/>
        <v>0.91310241926345614</v>
      </c>
      <c r="F80" s="82">
        <v>2450000</v>
      </c>
      <c r="H80" s="152"/>
      <c r="I80" s="147"/>
    </row>
    <row r="81" spans="1:8" ht="30" customHeight="1" x14ac:dyDescent="0.25">
      <c r="A81" s="9"/>
      <c r="B81" s="8" t="s">
        <v>181</v>
      </c>
      <c r="C81" s="113">
        <v>0</v>
      </c>
      <c r="D81" s="113"/>
      <c r="E81" s="208"/>
      <c r="F81" s="82"/>
    </row>
    <row r="82" spans="1:8" ht="30" customHeight="1" x14ac:dyDescent="0.25">
      <c r="A82" s="9"/>
      <c r="B82" s="8" t="s">
        <v>182</v>
      </c>
      <c r="C82" s="113">
        <v>0</v>
      </c>
      <c r="D82" s="113"/>
      <c r="E82" s="208"/>
      <c r="F82" s="82"/>
    </row>
    <row r="83" spans="1:8" ht="30" customHeight="1" x14ac:dyDescent="0.25">
      <c r="A83" s="9"/>
      <c r="B83" s="8" t="s">
        <v>82</v>
      </c>
      <c r="C83" s="113">
        <v>0</v>
      </c>
      <c r="D83" s="113"/>
      <c r="E83" s="208"/>
      <c r="F83" s="82"/>
    </row>
    <row r="84" spans="1:8" ht="30" customHeight="1" x14ac:dyDescent="0.25">
      <c r="A84" s="9"/>
      <c r="B84" s="8" t="s">
        <v>83</v>
      </c>
      <c r="C84" s="113">
        <v>0</v>
      </c>
      <c r="D84" s="113"/>
      <c r="E84" s="208"/>
      <c r="F84" s="82"/>
    </row>
    <row r="85" spans="1:8" ht="30" customHeight="1" x14ac:dyDescent="0.25">
      <c r="A85" s="9"/>
      <c r="B85" s="8" t="s">
        <v>84</v>
      </c>
      <c r="C85" s="113">
        <v>0</v>
      </c>
      <c r="D85" s="113"/>
      <c r="E85" s="208"/>
      <c r="F85" s="82"/>
    </row>
    <row r="86" spans="1:8" ht="30" customHeight="1" x14ac:dyDescent="0.25">
      <c r="A86" s="9"/>
      <c r="B86" s="8" t="s">
        <v>183</v>
      </c>
      <c r="C86" s="113">
        <v>0</v>
      </c>
      <c r="D86" s="113"/>
      <c r="E86" s="208"/>
      <c r="F86" s="82"/>
    </row>
    <row r="87" spans="1:8" ht="30" customHeight="1" x14ac:dyDescent="0.25">
      <c r="A87" s="9"/>
      <c r="B87" s="8" t="s">
        <v>186</v>
      </c>
      <c r="C87" s="113">
        <v>0</v>
      </c>
      <c r="D87" s="113"/>
      <c r="E87" s="208"/>
      <c r="F87" s="82"/>
    </row>
    <row r="88" spans="1:8" ht="30" customHeight="1" x14ac:dyDescent="0.25">
      <c r="A88" s="9"/>
      <c r="B88" s="8" t="s">
        <v>184</v>
      </c>
      <c r="C88" s="113">
        <v>15000</v>
      </c>
      <c r="D88" s="113">
        <v>10982</v>
      </c>
      <c r="E88" s="208">
        <f t="shared" si="3"/>
        <v>0.7321333333333333</v>
      </c>
      <c r="F88" s="82">
        <v>3000</v>
      </c>
      <c r="H88" s="147"/>
    </row>
    <row r="89" spans="1:8" ht="30" customHeight="1" x14ac:dyDescent="0.25">
      <c r="A89" s="9"/>
      <c r="B89" s="8" t="s">
        <v>185</v>
      </c>
      <c r="C89" s="113">
        <v>0</v>
      </c>
      <c r="D89" s="113"/>
      <c r="E89" s="208"/>
      <c r="F89" s="82"/>
    </row>
    <row r="90" spans="1:8" ht="30" customHeight="1" x14ac:dyDescent="0.25">
      <c r="A90" s="9"/>
      <c r="B90" s="8" t="s">
        <v>168</v>
      </c>
      <c r="C90" s="113">
        <v>0</v>
      </c>
      <c r="D90" s="113"/>
      <c r="E90" s="208"/>
      <c r="F90" s="82"/>
    </row>
    <row r="91" spans="1:8" ht="30" customHeight="1" x14ac:dyDescent="0.25">
      <c r="A91" s="9"/>
      <c r="B91" s="8" t="s">
        <v>89</v>
      </c>
      <c r="C91" s="113">
        <v>4000</v>
      </c>
      <c r="D91" s="113">
        <v>2273.81</v>
      </c>
      <c r="E91" s="208">
        <f t="shared" si="3"/>
        <v>0.56845250000000003</v>
      </c>
      <c r="F91" s="82"/>
      <c r="H91" s="147"/>
    </row>
    <row r="92" spans="1:8" ht="30" customHeight="1" x14ac:dyDescent="0.25">
      <c r="A92" s="9"/>
      <c r="B92" s="8" t="s">
        <v>187</v>
      </c>
      <c r="C92" s="113">
        <v>0</v>
      </c>
      <c r="D92" s="113"/>
      <c r="E92" s="208"/>
      <c r="F92" s="82"/>
    </row>
    <row r="93" spans="1:8" ht="30" customHeight="1" x14ac:dyDescent="0.25">
      <c r="A93" s="9"/>
      <c r="B93" s="8" t="s">
        <v>166</v>
      </c>
      <c r="C93" s="113">
        <v>0</v>
      </c>
      <c r="D93" s="113"/>
      <c r="E93" s="208"/>
      <c r="F93" s="82"/>
    </row>
    <row r="94" spans="1:8" ht="30" customHeight="1" x14ac:dyDescent="0.25">
      <c r="A94" s="9"/>
      <c r="B94" s="8" t="s">
        <v>167</v>
      </c>
      <c r="C94" s="113">
        <v>0</v>
      </c>
      <c r="D94" s="113"/>
      <c r="E94" s="208"/>
      <c r="F94" s="82"/>
    </row>
    <row r="95" spans="1:8" ht="30" customHeight="1" x14ac:dyDescent="0.25">
      <c r="A95" s="9"/>
      <c r="B95" s="8" t="s">
        <v>91</v>
      </c>
      <c r="C95" s="113">
        <v>5000</v>
      </c>
      <c r="D95" s="113">
        <v>4750</v>
      </c>
      <c r="E95" s="208">
        <f t="shared" si="3"/>
        <v>0.95</v>
      </c>
      <c r="F95" s="82">
        <v>0</v>
      </c>
      <c r="H95" s="147"/>
    </row>
    <row r="96" spans="1:8" ht="30" customHeight="1" x14ac:dyDescent="0.25">
      <c r="A96" s="9"/>
      <c r="B96" s="8" t="s">
        <v>92</v>
      </c>
      <c r="C96" s="113">
        <v>31520</v>
      </c>
      <c r="D96" s="113">
        <v>31511.59</v>
      </c>
      <c r="E96" s="208">
        <f t="shared" ref="E96:E134" si="5">D96/C96</f>
        <v>0.99973318527918786</v>
      </c>
      <c r="F96" s="82">
        <v>8250</v>
      </c>
      <c r="H96" s="147"/>
    </row>
    <row r="97" spans="1:8" ht="30" customHeight="1" x14ac:dyDescent="0.25">
      <c r="A97" s="9"/>
      <c r="B97" s="8" t="s">
        <v>93</v>
      </c>
      <c r="C97" s="113"/>
      <c r="D97" s="113"/>
      <c r="E97" s="208"/>
      <c r="F97" s="82"/>
      <c r="H97" s="147"/>
    </row>
    <row r="98" spans="1:8" ht="30" customHeight="1" x14ac:dyDescent="0.25">
      <c r="A98" s="9"/>
      <c r="B98" s="8" t="s">
        <v>132</v>
      </c>
      <c r="C98" s="113">
        <v>210</v>
      </c>
      <c r="D98" s="113">
        <v>210</v>
      </c>
      <c r="E98" s="208">
        <f t="shared" si="5"/>
        <v>1</v>
      </c>
      <c r="F98" s="82">
        <v>325</v>
      </c>
      <c r="H98" s="147"/>
    </row>
    <row r="99" spans="1:8" s="75" customFormat="1" ht="30" customHeight="1" x14ac:dyDescent="0.25">
      <c r="A99" s="49" t="s">
        <v>9</v>
      </c>
      <c r="B99" s="50" t="s">
        <v>94</v>
      </c>
      <c r="C99" s="116">
        <f>C100</f>
        <v>3787509</v>
      </c>
      <c r="D99" s="116">
        <f>D100</f>
        <v>4170498.9800000004</v>
      </c>
      <c r="E99" s="204">
        <f t="shared" si="5"/>
        <v>1.1011192263833565</v>
      </c>
      <c r="F99" s="93">
        <f t="shared" ref="E99:F99" si="6">F100</f>
        <v>3065000</v>
      </c>
      <c r="H99" s="143"/>
    </row>
    <row r="100" spans="1:8" ht="30" customHeight="1" x14ac:dyDescent="0.25">
      <c r="A100" s="9" t="s">
        <v>1</v>
      </c>
      <c r="B100" s="8" t="s">
        <v>95</v>
      </c>
      <c r="C100" s="113">
        <v>3787509</v>
      </c>
      <c r="D100" s="113">
        <f>2642427.94+987068.01+541003.03</f>
        <v>4170498.9800000004</v>
      </c>
      <c r="E100" s="208">
        <f t="shared" si="5"/>
        <v>1.1011192263833565</v>
      </c>
      <c r="F100" s="82">
        <v>3065000</v>
      </c>
    </row>
    <row r="101" spans="1:8" s="75" customFormat="1" ht="30" customHeight="1" x14ac:dyDescent="0.25">
      <c r="A101" s="49" t="s">
        <v>11</v>
      </c>
      <c r="B101" s="50" t="s">
        <v>96</v>
      </c>
      <c r="C101" s="116">
        <f>C102+C103+C104</f>
        <v>1407842</v>
      </c>
      <c r="D101" s="116">
        <f>D102+D103+D104</f>
        <v>1398774.38</v>
      </c>
      <c r="E101" s="204">
        <f t="shared" si="5"/>
        <v>0.99355920621774307</v>
      </c>
      <c r="F101" s="93">
        <f t="shared" ref="F101" si="7">F102+F103+F104</f>
        <v>1042520</v>
      </c>
      <c r="H101" s="143"/>
    </row>
    <row r="102" spans="1:8" s="79" customFormat="1" ht="30" customHeight="1" x14ac:dyDescent="0.25">
      <c r="A102" s="9"/>
      <c r="B102" s="8" t="s">
        <v>97</v>
      </c>
      <c r="C102" s="113">
        <v>6500</v>
      </c>
      <c r="D102" s="113">
        <v>3343.71</v>
      </c>
      <c r="E102" s="208">
        <f t="shared" si="5"/>
        <v>0.5144169230769231</v>
      </c>
      <c r="F102" s="82">
        <v>4030</v>
      </c>
    </row>
    <row r="103" spans="1:8" s="79" customFormat="1" ht="30" customHeight="1" x14ac:dyDescent="0.25">
      <c r="A103" s="9"/>
      <c r="B103" s="8" t="s">
        <v>98</v>
      </c>
      <c r="C103" s="113">
        <v>883342</v>
      </c>
      <c r="D103" s="113">
        <f>350903.04+513229.93</f>
        <v>864132.97</v>
      </c>
      <c r="E103" s="208">
        <f t="shared" si="5"/>
        <v>0.97825414165747804</v>
      </c>
      <c r="F103" s="82">
        <v>571125</v>
      </c>
    </row>
    <row r="104" spans="1:8" s="79" customFormat="1" ht="30" customHeight="1" x14ac:dyDescent="0.25">
      <c r="A104" s="9"/>
      <c r="B104" s="8" t="s">
        <v>99</v>
      </c>
      <c r="C104" s="113">
        <v>518000</v>
      </c>
      <c r="D104" s="113">
        <f>1395430.67-864132.97</f>
        <v>531297.69999999995</v>
      </c>
      <c r="E104" s="208">
        <f t="shared" si="5"/>
        <v>1.0256712355212354</v>
      </c>
      <c r="F104" s="82">
        <v>467365</v>
      </c>
    </row>
    <row r="105" spans="1:8" s="75" customFormat="1" ht="30" customHeight="1" x14ac:dyDescent="0.25">
      <c r="A105" s="49" t="s">
        <v>15</v>
      </c>
      <c r="B105" s="50" t="s">
        <v>100</v>
      </c>
      <c r="C105" s="116">
        <f>C106</f>
        <v>0</v>
      </c>
      <c r="D105" s="116">
        <f>D106</f>
        <v>197242.49</v>
      </c>
      <c r="E105" s="204" t="e">
        <f t="shared" si="5"/>
        <v>#DIV/0!</v>
      </c>
      <c r="F105" s="93">
        <f t="shared" ref="E105:F105" si="8">F106</f>
        <v>0</v>
      </c>
    </row>
    <row r="106" spans="1:8" ht="30" customHeight="1" x14ac:dyDescent="0.25">
      <c r="A106" s="39"/>
      <c r="B106" s="16" t="s">
        <v>101</v>
      </c>
      <c r="C106" s="113"/>
      <c r="D106" s="113">
        <v>197242.49</v>
      </c>
      <c r="E106" s="208" t="e">
        <f t="shared" si="5"/>
        <v>#DIV/0!</v>
      </c>
      <c r="F106" s="82"/>
      <c r="H106" s="147"/>
    </row>
    <row r="107" spans="1:8" s="52" customFormat="1" ht="30" customHeight="1" x14ac:dyDescent="0.25">
      <c r="A107" s="49" t="s">
        <v>19</v>
      </c>
      <c r="B107" s="50" t="s">
        <v>148</v>
      </c>
      <c r="C107" s="116">
        <f>C108</f>
        <v>0</v>
      </c>
      <c r="D107" s="116">
        <f>D108</f>
        <v>0</v>
      </c>
      <c r="E107" s="204" t="e">
        <f t="shared" si="5"/>
        <v>#DIV/0!</v>
      </c>
      <c r="F107" s="93">
        <f>F108</f>
        <v>0</v>
      </c>
    </row>
    <row r="108" spans="1:8" s="6" customFormat="1" ht="30" customHeight="1" x14ac:dyDescent="0.25">
      <c r="A108" s="39"/>
      <c r="B108" s="16" t="s">
        <v>148</v>
      </c>
      <c r="C108" s="113"/>
      <c r="D108" s="113"/>
      <c r="E108" s="208"/>
      <c r="F108" s="82"/>
    </row>
    <row r="109" spans="1:8" s="75" customFormat="1" ht="30" customHeight="1" x14ac:dyDescent="0.25">
      <c r="A109" s="49" t="s">
        <v>21</v>
      </c>
      <c r="B109" s="50" t="s">
        <v>102</v>
      </c>
      <c r="C109" s="116">
        <f>C110+C111+C112+C113+C114+C115+C116+C117+C118+C119+C120+C121+C122+C123+C124+C125</f>
        <v>850823</v>
      </c>
      <c r="D109" s="116">
        <f>D110+D111+D112+D113+D114+D115+D116+D117+D118+D119+D120+D121+D122+D123+D124+D125</f>
        <v>894180.08000000007</v>
      </c>
      <c r="E109" s="204">
        <f t="shared" si="5"/>
        <v>1.0509589891199462</v>
      </c>
      <c r="F109" s="93">
        <f t="shared" ref="F109" si="9">F110+F111+F112+F113+F114+F115+F116+F117+F118+F119+F120+F121+F122+F123+F124+F125</f>
        <v>572580</v>
      </c>
      <c r="H109" s="143"/>
    </row>
    <row r="110" spans="1:8" ht="30" customHeight="1" x14ac:dyDescent="0.25">
      <c r="A110" s="9"/>
      <c r="B110" s="8" t="s">
        <v>103</v>
      </c>
      <c r="C110" s="113">
        <v>2500</v>
      </c>
      <c r="D110" s="113">
        <v>1781.48</v>
      </c>
      <c r="E110" s="208">
        <f t="shared" si="5"/>
        <v>0.712592</v>
      </c>
      <c r="F110" s="82">
        <v>3500</v>
      </c>
    </row>
    <row r="111" spans="1:8" ht="30" customHeight="1" x14ac:dyDescent="0.25">
      <c r="A111" s="9"/>
      <c r="B111" s="8" t="s">
        <v>104</v>
      </c>
      <c r="C111" s="113"/>
      <c r="D111" s="113"/>
      <c r="E111" s="208"/>
      <c r="F111" s="82">
        <v>0</v>
      </c>
    </row>
    <row r="112" spans="1:8" ht="30" customHeight="1" x14ac:dyDescent="0.25">
      <c r="A112" s="9"/>
      <c r="B112" s="8" t="s">
        <v>105</v>
      </c>
      <c r="C112" s="113">
        <v>145000</v>
      </c>
      <c r="D112" s="113">
        <v>154485.31</v>
      </c>
      <c r="E112" s="208">
        <f t="shared" si="5"/>
        <v>1.0654159310344828</v>
      </c>
      <c r="F112" s="82">
        <v>120700</v>
      </c>
    </row>
    <row r="113" spans="1:8" ht="30" customHeight="1" x14ac:dyDescent="0.25">
      <c r="A113" s="9" t="s">
        <v>1</v>
      </c>
      <c r="B113" s="8" t="s">
        <v>177</v>
      </c>
      <c r="C113" s="113">
        <v>441693</v>
      </c>
      <c r="D113" s="113">
        <f>13000+445079.88+8000+27010</f>
        <v>493089.88</v>
      </c>
      <c r="E113" s="208">
        <f t="shared" si="5"/>
        <v>1.1163633564489364</v>
      </c>
      <c r="F113" s="82">
        <v>256300</v>
      </c>
    </row>
    <row r="114" spans="1:8" ht="30" customHeight="1" x14ac:dyDescent="0.25">
      <c r="A114" s="9"/>
      <c r="B114" s="8" t="s">
        <v>178</v>
      </c>
      <c r="C114" s="113"/>
      <c r="D114" s="113"/>
      <c r="E114" s="208"/>
      <c r="F114" s="82"/>
    </row>
    <row r="115" spans="1:8" ht="30" customHeight="1" x14ac:dyDescent="0.25">
      <c r="A115" s="9"/>
      <c r="B115" s="8" t="s">
        <v>108</v>
      </c>
      <c r="C115" s="113">
        <v>220000</v>
      </c>
      <c r="D115" s="113">
        <v>201646.44</v>
      </c>
      <c r="E115" s="208">
        <f t="shared" si="5"/>
        <v>0.91657472727272726</v>
      </c>
      <c r="F115" s="82">
        <v>146900</v>
      </c>
    </row>
    <row r="116" spans="1:8" ht="30" customHeight="1" x14ac:dyDescent="0.25">
      <c r="A116" s="9"/>
      <c r="B116" s="8" t="s">
        <v>109</v>
      </c>
      <c r="C116" s="113">
        <v>9000</v>
      </c>
      <c r="D116" s="113">
        <v>1979.53</v>
      </c>
      <c r="E116" s="208">
        <f t="shared" si="5"/>
        <v>0.21994777777777777</v>
      </c>
      <c r="F116" s="82">
        <v>14000</v>
      </c>
    </row>
    <row r="117" spans="1:8" ht="30" customHeight="1" x14ac:dyDescent="0.25">
      <c r="A117" s="9"/>
      <c r="B117" s="8" t="s">
        <v>110</v>
      </c>
      <c r="C117" s="113">
        <v>1850</v>
      </c>
      <c r="D117" s="113">
        <v>1824</v>
      </c>
      <c r="E117" s="208">
        <f t="shared" si="5"/>
        <v>0.98594594594594598</v>
      </c>
      <c r="F117" s="82">
        <v>1400</v>
      </c>
    </row>
    <row r="118" spans="1:8" ht="30" customHeight="1" x14ac:dyDescent="0.25">
      <c r="A118" s="9"/>
      <c r="B118" s="8" t="s">
        <v>188</v>
      </c>
      <c r="C118" s="113"/>
      <c r="D118" s="113">
        <v>7682.48</v>
      </c>
      <c r="E118" s="208" t="e">
        <f t="shared" si="5"/>
        <v>#DIV/0!</v>
      </c>
      <c r="F118" s="82"/>
    </row>
    <row r="119" spans="1:8" ht="30" customHeight="1" x14ac:dyDescent="0.25">
      <c r="A119" s="9"/>
      <c r="B119" s="8" t="s">
        <v>111</v>
      </c>
      <c r="C119" s="113">
        <v>1000</v>
      </c>
      <c r="D119" s="113">
        <v>690.96</v>
      </c>
      <c r="E119" s="208">
        <f t="shared" si="5"/>
        <v>0.69096000000000002</v>
      </c>
      <c r="F119" s="82"/>
    </row>
    <row r="120" spans="1:8" ht="30" customHeight="1" x14ac:dyDescent="0.25">
      <c r="A120" s="9"/>
      <c r="B120" s="8"/>
      <c r="C120" s="113">
        <v>0</v>
      </c>
      <c r="D120" s="113"/>
      <c r="E120" s="208"/>
      <c r="F120" s="82"/>
    </row>
    <row r="121" spans="1:8" ht="30" customHeight="1" x14ac:dyDescent="0.25">
      <c r="A121" s="9"/>
      <c r="B121" s="8" t="s">
        <v>114</v>
      </c>
      <c r="C121" s="113">
        <v>7680</v>
      </c>
      <c r="D121" s="113">
        <v>7680</v>
      </c>
      <c r="E121" s="208">
        <f t="shared" si="5"/>
        <v>1</v>
      </c>
      <c r="F121" s="82">
        <v>7680</v>
      </c>
    </row>
    <row r="122" spans="1:8" ht="30" customHeight="1" x14ac:dyDescent="0.25">
      <c r="A122" s="9"/>
      <c r="B122" s="8" t="s">
        <v>115</v>
      </c>
      <c r="C122" s="113">
        <v>100</v>
      </c>
      <c r="D122" s="113">
        <v>100</v>
      </c>
      <c r="E122" s="208">
        <f t="shared" si="5"/>
        <v>1</v>
      </c>
      <c r="F122" s="82">
        <v>9000</v>
      </c>
    </row>
    <row r="123" spans="1:8" ht="30" customHeight="1" x14ac:dyDescent="0.25">
      <c r="A123" s="9"/>
      <c r="B123" s="8" t="s">
        <v>116</v>
      </c>
      <c r="C123" s="113">
        <v>12000</v>
      </c>
      <c r="D123" s="113">
        <v>14270</v>
      </c>
      <c r="E123" s="208">
        <f t="shared" si="5"/>
        <v>1.1891666666666667</v>
      </c>
      <c r="F123" s="82">
        <v>1200</v>
      </c>
    </row>
    <row r="124" spans="1:8" ht="30" customHeight="1" x14ac:dyDescent="0.25">
      <c r="A124" s="9"/>
      <c r="B124" s="8" t="s">
        <v>117</v>
      </c>
      <c r="C124" s="113">
        <v>2500</v>
      </c>
      <c r="D124" s="113">
        <v>2500</v>
      </c>
      <c r="E124" s="208">
        <f t="shared" si="5"/>
        <v>1</v>
      </c>
      <c r="F124" s="82">
        <v>4700</v>
      </c>
    </row>
    <row r="125" spans="1:8" ht="30" customHeight="1" x14ac:dyDescent="0.25">
      <c r="A125" s="9"/>
      <c r="B125" s="8" t="s">
        <v>118</v>
      </c>
      <c r="C125" s="113">
        <v>7500</v>
      </c>
      <c r="D125" s="113">
        <f>6450</f>
        <v>6450</v>
      </c>
      <c r="E125" s="208">
        <f t="shared" si="5"/>
        <v>0.86</v>
      </c>
      <c r="F125" s="82">
        <v>7200</v>
      </c>
    </row>
    <row r="126" spans="1:8" s="75" customFormat="1" ht="30" customHeight="1" x14ac:dyDescent="0.25">
      <c r="A126" s="54" t="s">
        <v>23</v>
      </c>
      <c r="B126" s="55" t="s">
        <v>119</v>
      </c>
      <c r="C126" s="117">
        <f>C127+C128</f>
        <v>56113</v>
      </c>
      <c r="D126" s="117">
        <f>D127+D128</f>
        <v>58625.549999999996</v>
      </c>
      <c r="E126" s="204">
        <f t="shared" si="5"/>
        <v>1.0447766114804056</v>
      </c>
      <c r="F126" s="94">
        <f>F127+F128</f>
        <v>34350</v>
      </c>
      <c r="H126" s="143"/>
    </row>
    <row r="127" spans="1:8" ht="30" customHeight="1" x14ac:dyDescent="0.25">
      <c r="A127" s="9"/>
      <c r="B127" s="8" t="s">
        <v>120</v>
      </c>
      <c r="C127" s="113">
        <v>100</v>
      </c>
      <c r="D127" s="113">
        <f>38.69+3668.51</f>
        <v>3707.2000000000003</v>
      </c>
      <c r="E127" s="208">
        <f t="shared" si="5"/>
        <v>37.072000000000003</v>
      </c>
      <c r="F127" s="82"/>
    </row>
    <row r="128" spans="1:8" ht="30" customHeight="1" x14ac:dyDescent="0.25">
      <c r="A128" s="9"/>
      <c r="B128" s="8" t="s">
        <v>179</v>
      </c>
      <c r="C128" s="113">
        <v>56013</v>
      </c>
      <c r="D128" s="113">
        <v>54918.35</v>
      </c>
      <c r="E128" s="208">
        <f t="shared" si="5"/>
        <v>0.98045721528930785</v>
      </c>
      <c r="F128" s="82">
        <v>34350</v>
      </c>
    </row>
    <row r="129" spans="1:8" s="75" customFormat="1" ht="30" customHeight="1" x14ac:dyDescent="0.25">
      <c r="A129" s="54" t="s">
        <v>25</v>
      </c>
      <c r="B129" s="55" t="s">
        <v>122</v>
      </c>
      <c r="C129" s="117">
        <f>C130+C131+C132+C133</f>
        <v>176990</v>
      </c>
      <c r="D129" s="117">
        <f>D130+D131+D132+D133</f>
        <v>15790.670000000002</v>
      </c>
      <c r="E129" s="204">
        <f t="shared" si="5"/>
        <v>8.9217865416125211E-2</v>
      </c>
      <c r="F129" s="94">
        <f t="shared" ref="F129" si="10">F130+F131+F132+F133</f>
        <v>70000</v>
      </c>
      <c r="H129" s="143"/>
    </row>
    <row r="130" spans="1:8" s="72" customFormat="1" ht="30" customHeight="1" x14ac:dyDescent="0.25">
      <c r="A130" s="44"/>
      <c r="B130" s="18" t="s">
        <v>123</v>
      </c>
      <c r="C130" s="113">
        <f>46990</f>
        <v>46990</v>
      </c>
      <c r="D130" s="113">
        <v>8713.51</v>
      </c>
      <c r="E130" s="208">
        <f t="shared" si="5"/>
        <v>0.18543328367737816</v>
      </c>
      <c r="F130" s="82">
        <v>70000</v>
      </c>
    </row>
    <row r="131" spans="1:8" ht="51" customHeight="1" x14ac:dyDescent="0.25">
      <c r="A131" s="9"/>
      <c r="B131" s="8" t="s">
        <v>124</v>
      </c>
      <c r="C131" s="113">
        <v>30000</v>
      </c>
      <c r="D131" s="113">
        <f>7077.14+0.02</f>
        <v>7077.1600000000008</v>
      </c>
      <c r="E131" s="208">
        <f t="shared" si="5"/>
        <v>0.23590533333333336</v>
      </c>
      <c r="F131" s="82"/>
    </row>
    <row r="132" spans="1:8" ht="30" customHeight="1" x14ac:dyDescent="0.25">
      <c r="A132" s="9"/>
      <c r="B132" s="8" t="s">
        <v>125</v>
      </c>
      <c r="C132" s="113"/>
      <c r="D132" s="113"/>
      <c r="E132" s="208"/>
      <c r="F132" s="82"/>
    </row>
    <row r="133" spans="1:8" ht="30" customHeight="1" x14ac:dyDescent="0.25">
      <c r="A133" s="9"/>
      <c r="B133" s="8" t="s">
        <v>126</v>
      </c>
      <c r="C133" s="113">
        <v>100000</v>
      </c>
      <c r="D133" s="113"/>
      <c r="E133" s="208">
        <f t="shared" si="5"/>
        <v>0</v>
      </c>
      <c r="F133" s="82"/>
    </row>
    <row r="134" spans="1:8" s="74" customFormat="1" ht="30" customHeight="1" x14ac:dyDescent="0.25">
      <c r="A134" s="12" t="s">
        <v>27</v>
      </c>
      <c r="B134" s="22" t="s">
        <v>128</v>
      </c>
      <c r="C134" s="121">
        <f t="shared" ref="C134" si="11">C9-C29</f>
        <v>1706833</v>
      </c>
      <c r="D134" s="121">
        <f t="shared" ref="D134:E134" si="12">D9-D29</f>
        <v>1508011.7299999986</v>
      </c>
      <c r="E134" s="204">
        <f t="shared" si="5"/>
        <v>0.88351451489395771</v>
      </c>
      <c r="F134" s="95">
        <f t="shared" ref="F134" si="13">F9-F29</f>
        <v>-39515</v>
      </c>
      <c r="H134" s="146"/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4"/>
  <sheetViews>
    <sheetView topLeftCell="A118" workbookViewId="0">
      <selection activeCell="H134" sqref="H134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6" width="19.42578125" style="96" hidden="1" customWidth="1"/>
    <col min="7" max="8" width="15.85546875" style="45" bestFit="1" customWidth="1"/>
    <col min="9" max="9" width="9.140625" style="45"/>
    <col min="10" max="10" width="15.85546875" style="45" bestFit="1" customWidth="1"/>
    <col min="11" max="16384" width="9.140625" style="45"/>
  </cols>
  <sheetData>
    <row r="1" spans="1:8" x14ac:dyDescent="0.25">
      <c r="A1" s="29"/>
      <c r="B1" s="30"/>
      <c r="C1" s="31"/>
      <c r="D1" s="31"/>
      <c r="E1" s="31"/>
      <c r="F1" s="86"/>
    </row>
    <row r="2" spans="1:8" s="75" customFormat="1" x14ac:dyDescent="0.25">
      <c r="A2" s="64"/>
      <c r="B2" s="14" t="s">
        <v>0</v>
      </c>
      <c r="C2" s="65"/>
      <c r="D2" s="99"/>
      <c r="E2" s="65"/>
      <c r="F2" s="87"/>
    </row>
    <row r="3" spans="1:8" s="47" customFormat="1" ht="15.75" x14ac:dyDescent="0.25">
      <c r="A3" s="1" t="s">
        <v>1</v>
      </c>
      <c r="B3" s="81" t="s">
        <v>200</v>
      </c>
      <c r="C3" s="25"/>
      <c r="D3" s="25"/>
      <c r="E3" s="25"/>
      <c r="F3" s="88"/>
    </row>
    <row r="4" spans="1:8" s="75" customFormat="1" ht="15.75" x14ac:dyDescent="0.25">
      <c r="A4" s="66"/>
      <c r="B4" s="159" t="s">
        <v>206</v>
      </c>
      <c r="C4" s="159"/>
      <c r="D4" s="159"/>
      <c r="E4" s="159"/>
      <c r="F4" s="89"/>
    </row>
    <row r="5" spans="1:8" s="73" customFormat="1" ht="15.75" x14ac:dyDescent="0.25">
      <c r="A5" s="1"/>
      <c r="B5" s="13"/>
      <c r="C5" s="23"/>
      <c r="D5" s="23"/>
      <c r="E5" s="23"/>
      <c r="F5" s="97"/>
    </row>
    <row r="6" spans="1:8" s="73" customFormat="1" ht="15" customHeight="1" x14ac:dyDescent="0.25">
      <c r="A6" s="160" t="s">
        <v>1</v>
      </c>
      <c r="B6" s="163" t="s">
        <v>2</v>
      </c>
      <c r="C6" s="187" t="s">
        <v>165</v>
      </c>
      <c r="D6" s="187" t="s">
        <v>174</v>
      </c>
      <c r="E6" s="197" t="s">
        <v>199</v>
      </c>
      <c r="F6" s="169" t="s">
        <v>150</v>
      </c>
    </row>
    <row r="7" spans="1:8" s="73" customFormat="1" ht="15" customHeight="1" x14ac:dyDescent="0.25">
      <c r="A7" s="161"/>
      <c r="B7" s="164"/>
      <c r="C7" s="188"/>
      <c r="D7" s="188"/>
      <c r="E7" s="198"/>
      <c r="F7" s="170"/>
    </row>
    <row r="8" spans="1:8" s="73" customFormat="1" ht="40.5" customHeight="1" x14ac:dyDescent="0.25">
      <c r="A8" s="162"/>
      <c r="B8" s="165"/>
      <c r="C8" s="189"/>
      <c r="D8" s="189"/>
      <c r="E8" s="199"/>
      <c r="F8" s="171"/>
    </row>
    <row r="9" spans="1:8" s="73" customFormat="1" ht="30" customHeight="1" x14ac:dyDescent="0.25">
      <c r="A9" s="2" t="s">
        <v>3</v>
      </c>
      <c r="B9" s="15" t="s">
        <v>4</v>
      </c>
      <c r="C9" s="119">
        <f>C10+C11+C12+C13+C14+C15+C16+C17+C18+C19+C20+C21+C22+C23+C24+C25</f>
        <v>2243564</v>
      </c>
      <c r="D9" s="119">
        <f>D10+D11+D12+D13+D14+D15+D16+D17+D18+D19+D20+D21+D22+D23+D24+D25</f>
        <v>1723444.5</v>
      </c>
      <c r="E9" s="209">
        <f>D9/C9</f>
        <v>0.76817264851816125</v>
      </c>
      <c r="F9" s="91">
        <f>F10+F11+F12+F13+F14+F15+F16+F17+F18+F19+F20+F21+F22+F23+F24+F25</f>
        <v>426200</v>
      </c>
      <c r="G9" s="45"/>
      <c r="H9" s="145"/>
    </row>
    <row r="10" spans="1:8" ht="30" customHeight="1" x14ac:dyDescent="0.25">
      <c r="A10" s="35" t="s">
        <v>5</v>
      </c>
      <c r="B10" s="16" t="s">
        <v>6</v>
      </c>
      <c r="C10" s="113"/>
      <c r="D10" s="113"/>
      <c r="E10" s="207"/>
      <c r="F10" s="82"/>
    </row>
    <row r="11" spans="1:8" ht="30" customHeight="1" x14ac:dyDescent="0.25">
      <c r="A11" s="35" t="s">
        <v>7</v>
      </c>
      <c r="B11" s="8" t="s">
        <v>8</v>
      </c>
      <c r="C11" s="113">
        <v>1970623</v>
      </c>
      <c r="D11" s="113">
        <v>1455006.78</v>
      </c>
      <c r="E11" s="207">
        <f t="shared" ref="E10:E25" si="0">D11/C11</f>
        <v>0.73834862376010024</v>
      </c>
      <c r="F11" s="82"/>
    </row>
    <row r="12" spans="1:8" ht="30" customHeight="1" x14ac:dyDescent="0.25">
      <c r="A12" s="35" t="s">
        <v>9</v>
      </c>
      <c r="B12" s="8" t="s">
        <v>10</v>
      </c>
      <c r="C12" s="113"/>
      <c r="D12" s="113"/>
      <c r="E12" s="207"/>
      <c r="F12" s="82"/>
    </row>
    <row r="13" spans="1:8" ht="30" customHeight="1" x14ac:dyDescent="0.25">
      <c r="A13" s="35" t="s">
        <v>11</v>
      </c>
      <c r="B13" s="8" t="s">
        <v>192</v>
      </c>
      <c r="C13" s="113"/>
      <c r="D13" s="113"/>
      <c r="E13" s="207"/>
      <c r="F13" s="82"/>
    </row>
    <row r="14" spans="1:8" ht="30" customHeight="1" x14ac:dyDescent="0.25">
      <c r="A14" s="35" t="s">
        <v>15</v>
      </c>
      <c r="B14" s="8" t="s">
        <v>193</v>
      </c>
      <c r="C14" s="113"/>
      <c r="D14" s="113"/>
      <c r="E14" s="207"/>
      <c r="F14" s="82"/>
    </row>
    <row r="15" spans="1:8" ht="30" customHeight="1" x14ac:dyDescent="0.25">
      <c r="A15" s="35" t="s">
        <v>19</v>
      </c>
      <c r="B15" s="8" t="s">
        <v>194</v>
      </c>
      <c r="C15" s="113"/>
      <c r="D15" s="113"/>
      <c r="E15" s="207"/>
      <c r="F15" s="82">
        <v>226500</v>
      </c>
      <c r="H15" s="147"/>
    </row>
    <row r="16" spans="1:8" ht="30" customHeight="1" x14ac:dyDescent="0.25">
      <c r="A16" s="35" t="s">
        <v>21</v>
      </c>
      <c r="B16" s="8" t="s">
        <v>16</v>
      </c>
      <c r="C16" s="113">
        <v>250000</v>
      </c>
      <c r="D16" s="113">
        <f>242068.76+18900</f>
        <v>260968.76</v>
      </c>
      <c r="E16" s="207">
        <f t="shared" si="0"/>
        <v>1.0438750400000001</v>
      </c>
      <c r="F16" s="82">
        <v>192000</v>
      </c>
    </row>
    <row r="17" spans="1:8" ht="30" customHeight="1" x14ac:dyDescent="0.25">
      <c r="A17" s="35" t="s">
        <v>23</v>
      </c>
      <c r="B17" s="8" t="s">
        <v>191</v>
      </c>
      <c r="C17" s="113"/>
      <c r="D17" s="113"/>
      <c r="E17" s="207"/>
      <c r="F17" s="82"/>
    </row>
    <row r="18" spans="1:8" ht="30" customHeight="1" x14ac:dyDescent="0.25">
      <c r="A18" s="35" t="s">
        <v>25</v>
      </c>
      <c r="B18" s="8" t="s">
        <v>195</v>
      </c>
      <c r="C18" s="113"/>
      <c r="D18" s="113">
        <v>1249.1500000000001</v>
      </c>
      <c r="E18" s="207" t="e">
        <f t="shared" si="0"/>
        <v>#DIV/0!</v>
      </c>
      <c r="F18" s="82"/>
    </row>
    <row r="19" spans="1:8" ht="30" customHeight="1" x14ac:dyDescent="0.25">
      <c r="A19" s="35" t="s">
        <v>27</v>
      </c>
      <c r="B19" s="8"/>
      <c r="C19" s="113"/>
      <c r="D19" s="113"/>
      <c r="E19" s="207"/>
      <c r="F19" s="82"/>
    </row>
    <row r="20" spans="1:8" ht="30" customHeight="1" x14ac:dyDescent="0.25">
      <c r="A20" s="35" t="s">
        <v>29</v>
      </c>
      <c r="B20" s="8" t="s">
        <v>30</v>
      </c>
      <c r="C20" s="113"/>
      <c r="D20" s="113"/>
      <c r="E20" s="207"/>
      <c r="F20" s="82"/>
    </row>
    <row r="21" spans="1:8" ht="30" customHeight="1" x14ac:dyDescent="0.25">
      <c r="A21" s="35" t="s">
        <v>31</v>
      </c>
      <c r="B21" s="8" t="s">
        <v>196</v>
      </c>
      <c r="C21" s="113"/>
      <c r="D21" s="113"/>
      <c r="E21" s="207"/>
      <c r="F21" s="82"/>
    </row>
    <row r="22" spans="1:8" ht="30" customHeight="1" x14ac:dyDescent="0.25">
      <c r="A22" s="35" t="s">
        <v>33</v>
      </c>
      <c r="B22" s="8" t="s">
        <v>197</v>
      </c>
      <c r="C22" s="113"/>
      <c r="D22" s="113">
        <v>3209.01</v>
      </c>
      <c r="E22" s="207" t="e">
        <f t="shared" si="0"/>
        <v>#DIV/0!</v>
      </c>
      <c r="F22" s="82"/>
    </row>
    <row r="23" spans="1:8" ht="30" customHeight="1" x14ac:dyDescent="0.25">
      <c r="A23" s="35" t="s">
        <v>35</v>
      </c>
      <c r="B23" s="8" t="s">
        <v>32</v>
      </c>
      <c r="C23" s="113">
        <v>20000</v>
      </c>
      <c r="D23" s="113">
        <f>0.8+310</f>
        <v>310.8</v>
      </c>
      <c r="E23" s="207">
        <f t="shared" si="0"/>
        <v>1.554E-2</v>
      </c>
      <c r="F23" s="82">
        <v>5000</v>
      </c>
      <c r="H23" s="147"/>
    </row>
    <row r="24" spans="1:8" ht="30" customHeight="1" x14ac:dyDescent="0.25">
      <c r="A24" s="35" t="s">
        <v>189</v>
      </c>
      <c r="B24" s="8" t="s">
        <v>34</v>
      </c>
      <c r="C24" s="113"/>
      <c r="D24" s="113"/>
      <c r="E24" s="207"/>
      <c r="F24" s="82"/>
    </row>
    <row r="25" spans="1:8" s="79" customFormat="1" ht="30" customHeight="1" x14ac:dyDescent="0.25">
      <c r="A25" s="35" t="s">
        <v>190</v>
      </c>
      <c r="B25" s="8" t="s">
        <v>36</v>
      </c>
      <c r="C25" s="113">
        <v>2941</v>
      </c>
      <c r="D25" s="113">
        <v>2700</v>
      </c>
      <c r="E25" s="207">
        <f t="shared" si="0"/>
        <v>0.9180550833049983</v>
      </c>
      <c r="F25" s="82">
        <v>2700</v>
      </c>
    </row>
    <row r="26" spans="1:8" s="73" customFormat="1" ht="30" customHeight="1" x14ac:dyDescent="0.25">
      <c r="A26" s="160" t="s">
        <v>1</v>
      </c>
      <c r="B26" s="175" t="s">
        <v>37</v>
      </c>
      <c r="C26" s="187" t="s">
        <v>165</v>
      </c>
      <c r="D26" s="187" t="s">
        <v>174</v>
      </c>
      <c r="E26" s="197" t="s">
        <v>199</v>
      </c>
      <c r="F26" s="169" t="s">
        <v>150</v>
      </c>
    </row>
    <row r="27" spans="1:8" s="73" customFormat="1" ht="25.5" customHeight="1" x14ac:dyDescent="0.25">
      <c r="A27" s="161"/>
      <c r="B27" s="176"/>
      <c r="C27" s="188"/>
      <c r="D27" s="188"/>
      <c r="E27" s="198"/>
      <c r="F27" s="170"/>
    </row>
    <row r="28" spans="1:8" s="73" customFormat="1" ht="9" customHeight="1" x14ac:dyDescent="0.25">
      <c r="A28" s="162"/>
      <c r="B28" s="177"/>
      <c r="C28" s="189"/>
      <c r="D28" s="189"/>
      <c r="E28" s="199"/>
      <c r="F28" s="171"/>
    </row>
    <row r="29" spans="1:8" s="73" customFormat="1" ht="30" customHeight="1" x14ac:dyDescent="0.25">
      <c r="A29" s="4" t="s">
        <v>38</v>
      </c>
      <c r="B29" s="17" t="s">
        <v>39</v>
      </c>
      <c r="C29" s="120">
        <f>C31+C48+C99+C101+C105+C109+C126+C129+C107</f>
        <v>1279491</v>
      </c>
      <c r="D29" s="120">
        <f>D31+D48+D99+D101+D105+D109+D126+D129+D107</f>
        <v>1379280.39</v>
      </c>
      <c r="E29" s="210">
        <f>D29/C29</f>
        <v>1.0779914747348749</v>
      </c>
      <c r="F29" s="92">
        <f t="shared" ref="E29:F29" si="1">F31+F48+F99+F101+F105+F109+F126+F129+F107</f>
        <v>86390</v>
      </c>
      <c r="H29" s="145"/>
    </row>
    <row r="30" spans="1:8" s="73" customFormat="1" ht="30" customHeight="1" x14ac:dyDescent="0.25">
      <c r="A30" s="7"/>
      <c r="B30" s="76"/>
      <c r="C30" s="127"/>
      <c r="D30" s="127"/>
      <c r="E30" s="207"/>
      <c r="F30" s="98"/>
    </row>
    <row r="31" spans="1:8" s="75" customFormat="1" ht="30" customHeight="1" x14ac:dyDescent="0.25">
      <c r="A31" s="49" t="s">
        <v>5</v>
      </c>
      <c r="B31" s="50" t="s">
        <v>40</v>
      </c>
      <c r="C31" s="116">
        <f>C32+C33+C34+C35+C36+C37+C38+C39+C40+C41+C42+C43+C44+C45+C46+C47</f>
        <v>61732</v>
      </c>
      <c r="D31" s="116">
        <f>D32+D33+D34+D35+D36+D37+D38+D39+D40+D41+D42+D43+D44+D45+D46+D47</f>
        <v>72384.960000000006</v>
      </c>
      <c r="E31" s="204">
        <f>D31/C31</f>
        <v>1.1725678740361565</v>
      </c>
      <c r="F31" s="93">
        <f t="shared" ref="F31" si="2">F32+F33+F34+F35+F36+F37+F38+F39+F40+F41+F42+F43+F44+F45+F46+F47</f>
        <v>7775</v>
      </c>
      <c r="H31" s="143"/>
    </row>
    <row r="32" spans="1:8" s="72" customFormat="1" ht="30" customHeight="1" x14ac:dyDescent="0.25">
      <c r="A32" s="42"/>
      <c r="B32" s="18" t="s">
        <v>41</v>
      </c>
      <c r="C32" s="113">
        <v>23262</v>
      </c>
      <c r="D32" s="113">
        <f>25243.98+820.57</f>
        <v>26064.55</v>
      </c>
      <c r="E32" s="208">
        <f t="shared" ref="E32:E95" si="3">D32/C32</f>
        <v>1.1204776029576133</v>
      </c>
      <c r="F32" s="82">
        <v>250</v>
      </c>
    </row>
    <row r="33" spans="1:8" s="72" customFormat="1" ht="30" customHeight="1" x14ac:dyDescent="0.25">
      <c r="A33" s="42"/>
      <c r="B33" s="18" t="s">
        <v>42</v>
      </c>
      <c r="C33" s="113">
        <v>120</v>
      </c>
      <c r="D33" s="113">
        <f>106.56</f>
        <v>106.56</v>
      </c>
      <c r="E33" s="208">
        <f t="shared" si="3"/>
        <v>0.88800000000000001</v>
      </c>
      <c r="F33" s="82">
        <v>25</v>
      </c>
    </row>
    <row r="34" spans="1:8" ht="30" customHeight="1" x14ac:dyDescent="0.25">
      <c r="A34" s="9" t="s">
        <v>1</v>
      </c>
      <c r="B34" s="8" t="s">
        <v>198</v>
      </c>
      <c r="C34" s="113">
        <v>350</v>
      </c>
      <c r="D34" s="113">
        <f>37.6+495.61</f>
        <v>533.21</v>
      </c>
      <c r="E34" s="208">
        <f t="shared" si="3"/>
        <v>1.5234571428571431</v>
      </c>
      <c r="F34" s="82">
        <v>0</v>
      </c>
    </row>
    <row r="35" spans="1:8" ht="30" customHeight="1" x14ac:dyDescent="0.25">
      <c r="A35" s="9"/>
      <c r="B35" s="8" t="s">
        <v>44</v>
      </c>
      <c r="C35" s="113">
        <v>2000</v>
      </c>
      <c r="D35" s="113">
        <f>2177.72</f>
        <v>2177.7199999999998</v>
      </c>
      <c r="E35" s="208">
        <f t="shared" si="3"/>
        <v>1.0888599999999999</v>
      </c>
      <c r="F35" s="82"/>
    </row>
    <row r="36" spans="1:8" ht="30" customHeight="1" x14ac:dyDescent="0.25">
      <c r="A36" s="9"/>
      <c r="B36" s="8" t="s">
        <v>45</v>
      </c>
      <c r="C36" s="113">
        <v>4000</v>
      </c>
      <c r="D36" s="113">
        <f>1114.93</f>
        <v>1114.93</v>
      </c>
      <c r="E36" s="208">
        <f t="shared" si="3"/>
        <v>0.27873249999999999</v>
      </c>
      <c r="F36" s="82"/>
    </row>
    <row r="37" spans="1:8" ht="30" customHeight="1" x14ac:dyDescent="0.25">
      <c r="A37" s="9" t="s">
        <v>1</v>
      </c>
      <c r="B37" s="8" t="s">
        <v>46</v>
      </c>
      <c r="C37" s="113"/>
      <c r="D37" s="113"/>
      <c r="E37" s="208"/>
      <c r="F37" s="82"/>
    </row>
    <row r="38" spans="1:8" ht="30" customHeight="1" x14ac:dyDescent="0.25">
      <c r="A38" s="9"/>
      <c r="B38" s="8" t="s">
        <v>47</v>
      </c>
      <c r="C38" s="113"/>
      <c r="D38" s="113"/>
      <c r="E38" s="208"/>
      <c r="F38" s="82">
        <v>2500</v>
      </c>
    </row>
    <row r="39" spans="1:8" ht="30" customHeight="1" x14ac:dyDescent="0.25">
      <c r="A39" s="9"/>
      <c r="B39" s="8" t="s">
        <v>48</v>
      </c>
      <c r="C39" s="113">
        <v>32000</v>
      </c>
      <c r="D39" s="113">
        <v>39610.42</v>
      </c>
      <c r="E39" s="208">
        <f t="shared" si="3"/>
        <v>1.2378256249999999</v>
      </c>
      <c r="F39" s="82">
        <v>5000</v>
      </c>
    </row>
    <row r="40" spans="1:8" ht="30" customHeight="1" x14ac:dyDescent="0.25">
      <c r="A40" s="9"/>
      <c r="B40" s="8" t="s">
        <v>180</v>
      </c>
      <c r="C40" s="113">
        <v>0</v>
      </c>
      <c r="D40" s="113">
        <v>2777.57</v>
      </c>
      <c r="E40" s="208" t="e">
        <f t="shared" si="3"/>
        <v>#DIV/0!</v>
      </c>
      <c r="F40" s="82"/>
    </row>
    <row r="41" spans="1:8" ht="30" customHeight="1" x14ac:dyDescent="0.25">
      <c r="A41" s="9"/>
      <c r="B41" s="8" t="s">
        <v>49</v>
      </c>
      <c r="C41" s="113">
        <v>0</v>
      </c>
      <c r="D41" s="113"/>
      <c r="E41" s="208"/>
      <c r="F41" s="82"/>
    </row>
    <row r="42" spans="1:8" ht="30" customHeight="1" x14ac:dyDescent="0.25">
      <c r="A42" s="9"/>
      <c r="B42" s="8" t="s">
        <v>133</v>
      </c>
      <c r="C42" s="113">
        <v>0</v>
      </c>
      <c r="D42" s="113"/>
      <c r="E42" s="208"/>
      <c r="F42" s="82"/>
    </row>
    <row r="43" spans="1:8" ht="30" customHeight="1" x14ac:dyDescent="0.25">
      <c r="A43" s="9"/>
      <c r="B43" s="8" t="s">
        <v>139</v>
      </c>
      <c r="C43" s="113">
        <v>0</v>
      </c>
      <c r="D43" s="113"/>
      <c r="E43" s="208"/>
      <c r="F43" s="82"/>
    </row>
    <row r="44" spans="1:8" ht="30" customHeight="1" x14ac:dyDescent="0.25">
      <c r="A44" s="9"/>
      <c r="B44" s="8" t="s">
        <v>50</v>
      </c>
      <c r="C44" s="113">
        <v>0</v>
      </c>
      <c r="D44" s="113"/>
      <c r="E44" s="208"/>
      <c r="F44" s="82"/>
    </row>
    <row r="45" spans="1:8" ht="30" customHeight="1" x14ac:dyDescent="0.25">
      <c r="A45" s="9"/>
      <c r="B45" s="8" t="s">
        <v>51</v>
      </c>
      <c r="C45" s="113">
        <v>0</v>
      </c>
      <c r="D45" s="113"/>
      <c r="E45" s="208"/>
      <c r="F45" s="82"/>
    </row>
    <row r="46" spans="1:8" ht="30" customHeight="1" x14ac:dyDescent="0.25">
      <c r="A46" s="9"/>
      <c r="B46" s="8" t="s">
        <v>134</v>
      </c>
      <c r="C46" s="113">
        <v>0</v>
      </c>
      <c r="D46" s="113"/>
      <c r="E46" s="208"/>
      <c r="F46" s="82"/>
    </row>
    <row r="47" spans="1:8" ht="30" customHeight="1" x14ac:dyDescent="0.25">
      <c r="A47" s="9"/>
      <c r="B47" s="8" t="s">
        <v>52</v>
      </c>
      <c r="C47" s="113">
        <v>0</v>
      </c>
      <c r="D47" s="113"/>
      <c r="E47" s="208"/>
      <c r="F47" s="82"/>
    </row>
    <row r="48" spans="1:8" s="75" customFormat="1" ht="30" customHeight="1" x14ac:dyDescent="0.25">
      <c r="A48" s="49" t="s">
        <v>7</v>
      </c>
      <c r="B48" s="50" t="s">
        <v>53</v>
      </c>
      <c r="C48" s="116">
        <f>C49+C50+C51+C52+C53+C54+C55+C56+C57+C58+C59+C60+C61+C62+C63+C64+C65+C66+C67+C68+C69+C70+C71+C72+C73+C75+C76+C77+C78+C79+C80+C81+C82+C83+C84+C85+C86+C87+C88+C89+C90+C91+C92+C93+C94+C95+C96+C97+C98+C74</f>
        <v>583411</v>
      </c>
      <c r="D48" s="116">
        <f>D49+D50+D51+D52+D53+D54+D55+D56+D57+D58+D59+D60+D61+D62+D63+D64+D65+D66+D67+D68+D69+D70+D71+D72+D73+D75+D76+D77+D78+D79+D80+D81+D82+D83+D84+D85+D86+D87+D88+D89+D90+D91+D92+D93+D94+D95+D96+D97+D98+D74</f>
        <v>652674.57000000007</v>
      </c>
      <c r="E48" s="204">
        <f t="shared" si="3"/>
        <v>1.1187217416195445</v>
      </c>
      <c r="F48" s="93">
        <f t="shared" ref="E48:F48" si="4">F49+F50+F51+F52+F53+F54+F55+F56+F57+F58+F59+F60+F61+F62+F63+F64+F65+F66+F67+F68+F69+F70+F71+F72+F73+F75+F76+F77+F78+F79+F80+F81+F82+F83+F84+F85+F86+F87+F88+F89+F90+F91+F92+F93+F94+F95+F96+F97+F98+F74</f>
        <v>62960</v>
      </c>
      <c r="H48" s="143"/>
    </row>
    <row r="49" spans="1:6" ht="30" customHeight="1" x14ac:dyDescent="0.25">
      <c r="A49" s="9"/>
      <c r="B49" s="8" t="s">
        <v>54</v>
      </c>
      <c r="C49" s="113">
        <v>550</v>
      </c>
      <c r="D49" s="113">
        <f>476</f>
        <v>476</v>
      </c>
      <c r="E49" s="208">
        <f t="shared" si="3"/>
        <v>0.86545454545454548</v>
      </c>
      <c r="F49" s="82"/>
    </row>
    <row r="50" spans="1:6" ht="30" customHeight="1" x14ac:dyDescent="0.25">
      <c r="A50" s="9"/>
      <c r="B50" s="8" t="s">
        <v>176</v>
      </c>
      <c r="C50" s="113">
        <v>0</v>
      </c>
      <c r="D50" s="113"/>
      <c r="E50" s="208"/>
      <c r="F50" s="82"/>
    </row>
    <row r="51" spans="1:6" ht="30" customHeight="1" x14ac:dyDescent="0.25">
      <c r="A51" s="9"/>
      <c r="B51" s="8" t="s">
        <v>56</v>
      </c>
      <c r="C51" s="113">
        <v>0</v>
      </c>
      <c r="D51" s="113"/>
      <c r="E51" s="208"/>
      <c r="F51" s="82"/>
    </row>
    <row r="52" spans="1:6" ht="30" customHeight="1" x14ac:dyDescent="0.25">
      <c r="A52" s="9"/>
      <c r="B52" s="8" t="s">
        <v>57</v>
      </c>
      <c r="C52" s="113">
        <v>0</v>
      </c>
      <c r="D52" s="113"/>
      <c r="E52" s="208"/>
      <c r="F52" s="82">
        <v>500</v>
      </c>
    </row>
    <row r="53" spans="1:6" ht="30" customHeight="1" x14ac:dyDescent="0.25">
      <c r="A53" s="9"/>
      <c r="B53" s="8" t="s">
        <v>58</v>
      </c>
      <c r="C53" s="113">
        <v>0</v>
      </c>
      <c r="D53" s="113"/>
      <c r="E53" s="208"/>
      <c r="F53" s="82"/>
    </row>
    <row r="54" spans="1:6" ht="30" customHeight="1" x14ac:dyDescent="0.25">
      <c r="A54" s="9"/>
      <c r="B54" s="8" t="s">
        <v>59</v>
      </c>
      <c r="C54" s="113">
        <v>0</v>
      </c>
      <c r="D54" s="113"/>
      <c r="E54" s="208"/>
      <c r="F54" s="82"/>
    </row>
    <row r="55" spans="1:6" ht="30" customHeight="1" x14ac:dyDescent="0.25">
      <c r="A55" s="9"/>
      <c r="B55" s="19" t="s">
        <v>60</v>
      </c>
      <c r="C55" s="113">
        <v>10500</v>
      </c>
      <c r="D55" s="113">
        <f>11690.11</f>
        <v>11690.11</v>
      </c>
      <c r="E55" s="208">
        <f t="shared" si="3"/>
        <v>1.1133438095238095</v>
      </c>
      <c r="F55" s="82">
        <v>120</v>
      </c>
    </row>
    <row r="56" spans="1:6" ht="30" customHeight="1" x14ac:dyDescent="0.25">
      <c r="A56" s="9"/>
      <c r="B56" s="19" t="s">
        <v>61</v>
      </c>
      <c r="C56" s="113">
        <v>0</v>
      </c>
      <c r="D56" s="113"/>
      <c r="E56" s="208"/>
      <c r="F56" s="82"/>
    </row>
    <row r="57" spans="1:6" ht="30" customHeight="1" x14ac:dyDescent="0.25">
      <c r="A57" s="9"/>
      <c r="B57" s="8" t="s">
        <v>62</v>
      </c>
      <c r="C57" s="113">
        <v>0</v>
      </c>
      <c r="D57" s="113"/>
      <c r="E57" s="208"/>
      <c r="F57" s="82"/>
    </row>
    <row r="58" spans="1:6" ht="30" customHeight="1" x14ac:dyDescent="0.25">
      <c r="A58" s="9"/>
      <c r="B58" s="8" t="s">
        <v>135</v>
      </c>
      <c r="C58" s="113">
        <v>0</v>
      </c>
      <c r="D58" s="113"/>
      <c r="E58" s="208"/>
      <c r="F58" s="82"/>
    </row>
    <row r="59" spans="1:6" ht="30" customHeight="1" x14ac:dyDescent="0.25">
      <c r="A59" s="9"/>
      <c r="B59" s="8"/>
      <c r="C59" s="113">
        <v>0</v>
      </c>
      <c r="D59" s="113"/>
      <c r="E59" s="208"/>
      <c r="F59" s="82"/>
    </row>
    <row r="60" spans="1:6" ht="30" customHeight="1" x14ac:dyDescent="0.25">
      <c r="A60" s="9"/>
      <c r="B60" s="8" t="s">
        <v>63</v>
      </c>
      <c r="C60" s="113"/>
      <c r="D60" s="113"/>
      <c r="E60" s="208"/>
      <c r="F60" s="82">
        <v>1300</v>
      </c>
    </row>
    <row r="61" spans="1:6" ht="30" customHeight="1" x14ac:dyDescent="0.25">
      <c r="A61" s="9"/>
      <c r="B61" s="8" t="s">
        <v>64</v>
      </c>
      <c r="C61" s="113">
        <v>0</v>
      </c>
      <c r="D61" s="113"/>
      <c r="E61" s="208"/>
      <c r="F61" s="82"/>
    </row>
    <row r="62" spans="1:6" ht="30" customHeight="1" x14ac:dyDescent="0.25">
      <c r="A62" s="9"/>
      <c r="B62" s="8" t="s">
        <v>65</v>
      </c>
      <c r="C62" s="113"/>
      <c r="D62" s="113"/>
      <c r="E62" s="208"/>
      <c r="F62" s="82"/>
    </row>
    <row r="63" spans="1:6" ht="30" customHeight="1" x14ac:dyDescent="0.25">
      <c r="A63" s="9"/>
      <c r="B63" s="8" t="s">
        <v>136</v>
      </c>
      <c r="C63" s="113">
        <v>0</v>
      </c>
      <c r="D63" s="113"/>
      <c r="E63" s="208"/>
      <c r="F63" s="82"/>
    </row>
    <row r="64" spans="1:6" ht="30" customHeight="1" x14ac:dyDescent="0.25">
      <c r="A64" s="9"/>
      <c r="B64" s="8"/>
      <c r="C64" s="113">
        <v>0</v>
      </c>
      <c r="D64" s="113"/>
      <c r="E64" s="208"/>
      <c r="F64" s="82"/>
    </row>
    <row r="65" spans="1:6" ht="30" customHeight="1" x14ac:dyDescent="0.25">
      <c r="A65" s="9"/>
      <c r="B65" s="8" t="s">
        <v>66</v>
      </c>
      <c r="C65" s="113">
        <v>0</v>
      </c>
      <c r="D65" s="113"/>
      <c r="E65" s="208"/>
      <c r="F65" s="82"/>
    </row>
    <row r="66" spans="1:6" ht="30" customHeight="1" x14ac:dyDescent="0.25">
      <c r="A66" s="9"/>
      <c r="B66" s="8" t="s">
        <v>67</v>
      </c>
      <c r="C66" s="113">
        <v>0</v>
      </c>
      <c r="D66" s="113"/>
      <c r="E66" s="208"/>
      <c r="F66" s="82"/>
    </row>
    <row r="67" spans="1:6" ht="30" customHeight="1" x14ac:dyDescent="0.25">
      <c r="A67" s="9"/>
      <c r="B67" s="8" t="s">
        <v>68</v>
      </c>
      <c r="C67" s="113">
        <v>0</v>
      </c>
      <c r="D67" s="113"/>
      <c r="E67" s="208"/>
      <c r="F67" s="82"/>
    </row>
    <row r="68" spans="1:6" ht="30" customHeight="1" x14ac:dyDescent="0.25">
      <c r="A68" s="9"/>
      <c r="B68" s="8" t="s">
        <v>137</v>
      </c>
      <c r="C68" s="113">
        <v>0</v>
      </c>
      <c r="D68" s="113"/>
      <c r="E68" s="208"/>
      <c r="F68" s="82"/>
    </row>
    <row r="69" spans="1:6" ht="30" customHeight="1" x14ac:dyDescent="0.25">
      <c r="A69" s="9"/>
      <c r="B69" s="8" t="s">
        <v>138</v>
      </c>
      <c r="C69" s="113">
        <v>0</v>
      </c>
      <c r="D69" s="113"/>
      <c r="E69" s="208"/>
      <c r="F69" s="82"/>
    </row>
    <row r="70" spans="1:6" ht="30" customHeight="1" x14ac:dyDescent="0.25">
      <c r="A70" s="9"/>
      <c r="B70" s="8" t="s">
        <v>69</v>
      </c>
      <c r="C70" s="113">
        <v>0</v>
      </c>
      <c r="D70" s="113"/>
      <c r="E70" s="208"/>
      <c r="F70" s="82"/>
    </row>
    <row r="71" spans="1:6" ht="30" customHeight="1" x14ac:dyDescent="0.25">
      <c r="A71" s="9"/>
      <c r="B71" s="8" t="s">
        <v>70</v>
      </c>
      <c r="C71" s="113">
        <v>0</v>
      </c>
      <c r="D71" s="113"/>
      <c r="E71" s="208"/>
      <c r="F71" s="82"/>
    </row>
    <row r="72" spans="1:6" ht="30" customHeight="1" x14ac:dyDescent="0.25">
      <c r="A72" s="9"/>
      <c r="B72" s="8" t="s">
        <v>71</v>
      </c>
      <c r="C72" s="113">
        <v>0</v>
      </c>
      <c r="D72" s="113"/>
      <c r="E72" s="208"/>
      <c r="F72" s="82"/>
    </row>
    <row r="73" spans="1:6" ht="30" customHeight="1" x14ac:dyDescent="0.25">
      <c r="A73" s="9"/>
      <c r="B73" s="8" t="s">
        <v>72</v>
      </c>
      <c r="C73" s="113">
        <v>0</v>
      </c>
      <c r="D73" s="113"/>
      <c r="E73" s="208"/>
      <c r="F73" s="82"/>
    </row>
    <row r="74" spans="1:6" ht="30" customHeight="1" x14ac:dyDescent="0.25">
      <c r="A74" s="9"/>
      <c r="B74" s="8" t="s">
        <v>73</v>
      </c>
      <c r="C74" s="113">
        <v>0</v>
      </c>
      <c r="D74" s="113"/>
      <c r="E74" s="208"/>
      <c r="F74" s="82"/>
    </row>
    <row r="75" spans="1:6" ht="30" customHeight="1" x14ac:dyDescent="0.25">
      <c r="A75" s="9"/>
      <c r="B75" s="8" t="s">
        <v>74</v>
      </c>
      <c r="C75" s="113">
        <v>6500</v>
      </c>
      <c r="D75" s="113">
        <v>7236</v>
      </c>
      <c r="E75" s="208">
        <f t="shared" si="3"/>
        <v>1.1132307692307692</v>
      </c>
      <c r="F75" s="82">
        <v>7240</v>
      </c>
    </row>
    <row r="76" spans="1:6" ht="30" customHeight="1" x14ac:dyDescent="0.25">
      <c r="A76" s="9"/>
      <c r="B76" s="8" t="s">
        <v>75</v>
      </c>
      <c r="C76" s="113"/>
      <c r="D76" s="113"/>
      <c r="E76" s="208"/>
      <c r="F76" s="82"/>
    </row>
    <row r="77" spans="1:6" ht="30" customHeight="1" x14ac:dyDescent="0.25">
      <c r="A77" s="9"/>
      <c r="B77" s="8" t="s">
        <v>76</v>
      </c>
      <c r="C77" s="113"/>
      <c r="D77" s="113"/>
      <c r="E77" s="208"/>
      <c r="F77" s="82"/>
    </row>
    <row r="78" spans="1:6" ht="30" customHeight="1" x14ac:dyDescent="0.25">
      <c r="A78" s="9"/>
      <c r="B78" s="8" t="s">
        <v>77</v>
      </c>
      <c r="C78" s="113">
        <v>120</v>
      </c>
      <c r="D78" s="113">
        <v>60</v>
      </c>
      <c r="E78" s="208">
        <f t="shared" si="3"/>
        <v>0.5</v>
      </c>
      <c r="F78" s="82">
        <v>0</v>
      </c>
    </row>
    <row r="79" spans="1:6" ht="36.75" customHeight="1" x14ac:dyDescent="0.25">
      <c r="A79" s="9"/>
      <c r="B79" s="8" t="s">
        <v>78</v>
      </c>
      <c r="C79" s="113"/>
      <c r="D79" s="113"/>
      <c r="E79" s="208"/>
      <c r="F79" s="82"/>
    </row>
    <row r="80" spans="1:6" ht="30" customHeight="1" x14ac:dyDescent="0.25">
      <c r="A80" s="9"/>
      <c r="B80" s="8" t="s">
        <v>79</v>
      </c>
      <c r="C80" s="113"/>
      <c r="D80" s="113"/>
      <c r="E80" s="208"/>
      <c r="F80" s="82"/>
    </row>
    <row r="81" spans="1:8" ht="30" customHeight="1" x14ac:dyDescent="0.25">
      <c r="A81" s="9"/>
      <c r="B81" s="8" t="s">
        <v>181</v>
      </c>
      <c r="C81" s="113"/>
      <c r="D81" s="113"/>
      <c r="E81" s="208"/>
      <c r="F81" s="82"/>
    </row>
    <row r="82" spans="1:8" ht="30" customHeight="1" x14ac:dyDescent="0.25">
      <c r="A82" s="9"/>
      <c r="B82" s="8" t="s">
        <v>182</v>
      </c>
      <c r="C82" s="113"/>
      <c r="D82" s="113"/>
      <c r="E82" s="208"/>
      <c r="F82" s="82"/>
    </row>
    <row r="83" spans="1:8" ht="30" customHeight="1" x14ac:dyDescent="0.25">
      <c r="A83" s="9"/>
      <c r="B83" s="8" t="s">
        <v>82</v>
      </c>
      <c r="C83" s="113">
        <f>480000-2259</f>
        <v>477741</v>
      </c>
      <c r="D83" s="113">
        <v>526392.93000000005</v>
      </c>
      <c r="E83" s="208">
        <f t="shared" si="3"/>
        <v>1.1018374600463432</v>
      </c>
      <c r="F83" s="82"/>
      <c r="H83" s="144"/>
    </row>
    <row r="84" spans="1:8" ht="30" customHeight="1" x14ac:dyDescent="0.25">
      <c r="A84" s="9"/>
      <c r="B84" s="8" t="s">
        <v>83</v>
      </c>
      <c r="C84" s="113">
        <v>0</v>
      </c>
      <c r="D84" s="113"/>
      <c r="E84" s="208"/>
      <c r="F84" s="82"/>
    </row>
    <row r="85" spans="1:8" ht="30" customHeight="1" x14ac:dyDescent="0.25">
      <c r="A85" s="9"/>
      <c r="B85" s="8" t="s">
        <v>84</v>
      </c>
      <c r="C85" s="113">
        <v>18000</v>
      </c>
      <c r="D85" s="113">
        <v>14433.99</v>
      </c>
      <c r="E85" s="208">
        <f t="shared" si="3"/>
        <v>0.80188833333333331</v>
      </c>
      <c r="F85" s="82">
        <v>50000</v>
      </c>
      <c r="H85" s="147"/>
    </row>
    <row r="86" spans="1:8" ht="30" customHeight="1" x14ac:dyDescent="0.25">
      <c r="A86" s="9"/>
      <c r="B86" s="8" t="s">
        <v>183</v>
      </c>
      <c r="C86" s="113"/>
      <c r="D86" s="113"/>
      <c r="E86" s="208"/>
      <c r="F86" s="82"/>
    </row>
    <row r="87" spans="1:8" ht="30" customHeight="1" x14ac:dyDescent="0.25">
      <c r="A87" s="9"/>
      <c r="B87" s="8" t="s">
        <v>186</v>
      </c>
      <c r="C87" s="113">
        <v>28000</v>
      </c>
      <c r="D87" s="113">
        <v>47679.59</v>
      </c>
      <c r="E87" s="208">
        <f t="shared" si="3"/>
        <v>1.7028424999999998</v>
      </c>
      <c r="F87" s="82"/>
      <c r="H87" s="144"/>
    </row>
    <row r="88" spans="1:8" ht="30" customHeight="1" x14ac:dyDescent="0.25">
      <c r="A88" s="9"/>
      <c r="B88" s="8" t="s">
        <v>184</v>
      </c>
      <c r="C88" s="113"/>
      <c r="D88" s="113"/>
      <c r="E88" s="208"/>
      <c r="F88" s="82"/>
    </row>
    <row r="89" spans="1:8" ht="30" customHeight="1" x14ac:dyDescent="0.25">
      <c r="A89" s="9"/>
      <c r="B89" s="8" t="s">
        <v>185</v>
      </c>
      <c r="C89" s="113">
        <v>12000</v>
      </c>
      <c r="D89" s="113">
        <v>9372.7999999999993</v>
      </c>
      <c r="E89" s="208">
        <f t="shared" si="3"/>
        <v>0.78106666666666658</v>
      </c>
      <c r="F89" s="82">
        <v>3800</v>
      </c>
      <c r="H89" s="144"/>
    </row>
    <row r="90" spans="1:8" ht="30" customHeight="1" x14ac:dyDescent="0.25">
      <c r="A90" s="9"/>
      <c r="B90" s="8" t="s">
        <v>168</v>
      </c>
      <c r="C90" s="113">
        <v>30000</v>
      </c>
      <c r="D90" s="113">
        <v>35333.15</v>
      </c>
      <c r="E90" s="208">
        <f t="shared" si="3"/>
        <v>1.1777716666666667</v>
      </c>
      <c r="F90" s="82"/>
    </row>
    <row r="91" spans="1:8" ht="30" customHeight="1" x14ac:dyDescent="0.25">
      <c r="A91" s="9"/>
      <c r="B91" s="8" t="s">
        <v>89</v>
      </c>
      <c r="C91" s="113"/>
      <c r="D91" s="113"/>
      <c r="E91" s="208"/>
      <c r="F91" s="82"/>
    </row>
    <row r="92" spans="1:8" ht="30" customHeight="1" x14ac:dyDescent="0.25">
      <c r="A92" s="9"/>
      <c r="B92" s="8" t="s">
        <v>187</v>
      </c>
      <c r="C92" s="113"/>
      <c r="D92" s="113"/>
      <c r="E92" s="208"/>
      <c r="F92" s="82"/>
    </row>
    <row r="93" spans="1:8" ht="30" customHeight="1" x14ac:dyDescent="0.25">
      <c r="A93" s="9"/>
      <c r="B93" s="8" t="s">
        <v>166</v>
      </c>
      <c r="C93" s="113"/>
      <c r="D93" s="113"/>
      <c r="E93" s="208"/>
      <c r="F93" s="82"/>
    </row>
    <row r="94" spans="1:8" ht="30" customHeight="1" x14ac:dyDescent="0.25">
      <c r="A94" s="9"/>
      <c r="B94" s="8" t="s">
        <v>167</v>
      </c>
      <c r="C94" s="113"/>
      <c r="D94" s="113"/>
      <c r="E94" s="208"/>
      <c r="F94" s="82"/>
    </row>
    <row r="95" spans="1:8" ht="30" customHeight="1" x14ac:dyDescent="0.25">
      <c r="A95" s="9"/>
      <c r="B95" s="8" t="s">
        <v>91</v>
      </c>
      <c r="C95" s="113">
        <v>0</v>
      </c>
      <c r="D95" s="113"/>
      <c r="E95" s="208"/>
      <c r="F95" s="82"/>
    </row>
    <row r="96" spans="1:8" ht="30" customHeight="1" x14ac:dyDescent="0.25">
      <c r="A96" s="9"/>
      <c r="B96" s="8" t="s">
        <v>92</v>
      </c>
      <c r="C96" s="113">
        <v>0</v>
      </c>
      <c r="D96" s="113"/>
      <c r="E96" s="208"/>
      <c r="F96" s="82"/>
    </row>
    <row r="97" spans="1:8" ht="30" customHeight="1" x14ac:dyDescent="0.25">
      <c r="A97" s="9"/>
      <c r="B97" s="8" t="s">
        <v>93</v>
      </c>
      <c r="C97" s="113">
        <v>0</v>
      </c>
      <c r="D97" s="113"/>
      <c r="E97" s="208"/>
      <c r="F97" s="82"/>
    </row>
    <row r="98" spans="1:8" ht="30" customHeight="1" x14ac:dyDescent="0.25">
      <c r="A98" s="9"/>
      <c r="B98" s="8" t="s">
        <v>132</v>
      </c>
      <c r="C98" s="113">
        <v>0</v>
      </c>
      <c r="D98" s="113"/>
      <c r="E98" s="208"/>
      <c r="F98" s="82"/>
    </row>
    <row r="99" spans="1:8" s="75" customFormat="1" ht="30" customHeight="1" x14ac:dyDescent="0.25">
      <c r="A99" s="49" t="s">
        <v>9</v>
      </c>
      <c r="B99" s="50" t="s">
        <v>94</v>
      </c>
      <c r="C99" s="116">
        <f>C100</f>
        <v>524344</v>
      </c>
      <c r="D99" s="116">
        <f>D100</f>
        <v>530077.79999999993</v>
      </c>
      <c r="E99" s="204">
        <f t="shared" ref="E96:E134" si="5">D99/C99</f>
        <v>1.0109351875867749</v>
      </c>
      <c r="F99" s="93">
        <f t="shared" ref="E99:F99" si="6">F100</f>
        <v>0</v>
      </c>
      <c r="H99" s="143"/>
    </row>
    <row r="100" spans="1:8" ht="30" customHeight="1" x14ac:dyDescent="0.25">
      <c r="A100" s="9" t="s">
        <v>1</v>
      </c>
      <c r="B100" s="8" t="s">
        <v>95</v>
      </c>
      <c r="C100" s="113">
        <v>524344</v>
      </c>
      <c r="D100" s="113">
        <f>282104.29+104653.11+63814.98+48638.43+13649.02+5957.52+11260.45</f>
        <v>530077.79999999993</v>
      </c>
      <c r="E100" s="208">
        <f t="shared" si="5"/>
        <v>1.0109351875867749</v>
      </c>
      <c r="F100" s="82"/>
    </row>
    <row r="101" spans="1:8" s="75" customFormat="1" ht="30" customHeight="1" x14ac:dyDescent="0.25">
      <c r="A101" s="49" t="s">
        <v>11</v>
      </c>
      <c r="B101" s="50" t="s">
        <v>96</v>
      </c>
      <c r="C101" s="116">
        <f>C102+C103+C104</f>
        <v>28286</v>
      </c>
      <c r="D101" s="116">
        <f>D102+D103+D104</f>
        <v>28462.65</v>
      </c>
      <c r="E101" s="204">
        <f t="shared" si="5"/>
        <v>1.0062451389379905</v>
      </c>
      <c r="F101" s="93">
        <f t="shared" ref="E101:F101" si="7">F102+F103+F104</f>
        <v>15570</v>
      </c>
      <c r="G101" s="79"/>
      <c r="H101" s="143"/>
    </row>
    <row r="102" spans="1:8" s="79" customFormat="1" ht="30" customHeight="1" x14ac:dyDescent="0.25">
      <c r="A102" s="9"/>
      <c r="B102" s="8" t="s">
        <v>97</v>
      </c>
      <c r="C102" s="113">
        <v>16286</v>
      </c>
      <c r="D102" s="113">
        <v>16280.04</v>
      </c>
      <c r="E102" s="208">
        <f t="shared" si="5"/>
        <v>0.9996340415080438</v>
      </c>
      <c r="F102" s="82">
        <v>9080</v>
      </c>
    </row>
    <row r="103" spans="1:8" ht="30" customHeight="1" x14ac:dyDescent="0.25">
      <c r="A103" s="9"/>
      <c r="B103" s="8" t="s">
        <v>98</v>
      </c>
      <c r="C103" s="113"/>
      <c r="D103" s="113"/>
      <c r="E103" s="208"/>
      <c r="F103" s="82"/>
    </row>
    <row r="104" spans="1:8" ht="30" customHeight="1" x14ac:dyDescent="0.25">
      <c r="A104" s="9"/>
      <c r="B104" s="8" t="s">
        <v>99</v>
      </c>
      <c r="C104" s="113">
        <v>12000</v>
      </c>
      <c r="D104" s="113">
        <f>3567.21+8615.4</f>
        <v>12182.61</v>
      </c>
      <c r="E104" s="208">
        <f t="shared" si="5"/>
        <v>1.0152175000000001</v>
      </c>
      <c r="F104" s="82">
        <v>6490</v>
      </c>
    </row>
    <row r="105" spans="1:8" s="75" customFormat="1" ht="30" customHeight="1" x14ac:dyDescent="0.25">
      <c r="A105" s="49" t="s">
        <v>15</v>
      </c>
      <c r="B105" s="50" t="s">
        <v>100</v>
      </c>
      <c r="C105" s="116">
        <f>C106</f>
        <v>0</v>
      </c>
      <c r="D105" s="116">
        <f>D106</f>
        <v>0</v>
      </c>
      <c r="E105" s="204" t="e">
        <f t="shared" si="5"/>
        <v>#DIV/0!</v>
      </c>
      <c r="F105" s="93">
        <f t="shared" ref="E105:F105" si="8">F106</f>
        <v>0</v>
      </c>
    </row>
    <row r="106" spans="1:8" ht="30" customHeight="1" x14ac:dyDescent="0.25">
      <c r="A106" s="39"/>
      <c r="B106" s="16" t="s">
        <v>101</v>
      </c>
      <c r="C106" s="113">
        <v>0</v>
      </c>
      <c r="D106" s="113">
        <v>0</v>
      </c>
      <c r="E106" s="208"/>
      <c r="F106" s="82"/>
    </row>
    <row r="107" spans="1:8" s="52" customFormat="1" ht="30" customHeight="1" x14ac:dyDescent="0.25">
      <c r="A107" s="49" t="s">
        <v>19</v>
      </c>
      <c r="B107" s="50" t="s">
        <v>148</v>
      </c>
      <c r="C107" s="116">
        <f>C108</f>
        <v>0</v>
      </c>
      <c r="D107" s="116">
        <f>D108</f>
        <v>0</v>
      </c>
      <c r="E107" s="204" t="e">
        <f t="shared" si="5"/>
        <v>#DIV/0!</v>
      </c>
      <c r="F107" s="93">
        <f>F108</f>
        <v>0</v>
      </c>
    </row>
    <row r="108" spans="1:8" s="6" customFormat="1" ht="30" customHeight="1" x14ac:dyDescent="0.25">
      <c r="A108" s="39"/>
      <c r="B108" s="16" t="s">
        <v>148</v>
      </c>
      <c r="C108" s="113"/>
      <c r="D108" s="113"/>
      <c r="E108" s="208"/>
      <c r="F108" s="82"/>
    </row>
    <row r="109" spans="1:8" s="75" customFormat="1" ht="30" customHeight="1" x14ac:dyDescent="0.25">
      <c r="A109" s="49" t="s">
        <v>21</v>
      </c>
      <c r="B109" s="50" t="s">
        <v>102</v>
      </c>
      <c r="C109" s="116">
        <f>C110+C111+C112+C113+C114+C115+C116+C117+C118+C119+C120+C121+C122+C123+C124+C125</f>
        <v>77878</v>
      </c>
      <c r="D109" s="116">
        <f>D110+D111+D112+D113+D114+D115+D116+D117+D118+D119+D120+D121+D122+D123+D124+D125</f>
        <v>93280.41</v>
      </c>
      <c r="E109" s="204">
        <f t="shared" si="5"/>
        <v>1.1977761370348494</v>
      </c>
      <c r="F109" s="93">
        <f t="shared" ref="F109" si="9">F110+F111+F112+F113+F114+F115+F116+F117+F118+F119+F120+F121+F122+F123+F124+F125</f>
        <v>85</v>
      </c>
      <c r="G109" s="45"/>
      <c r="H109" s="143"/>
    </row>
    <row r="110" spans="1:8" ht="30" customHeight="1" x14ac:dyDescent="0.25">
      <c r="A110" s="9"/>
      <c r="B110" s="8" t="s">
        <v>103</v>
      </c>
      <c r="C110" s="113"/>
      <c r="D110" s="113"/>
      <c r="E110" s="208"/>
      <c r="F110" s="82"/>
    </row>
    <row r="111" spans="1:8" ht="30" customHeight="1" x14ac:dyDescent="0.25">
      <c r="A111" s="9"/>
      <c r="B111" s="8" t="s">
        <v>104</v>
      </c>
      <c r="C111" s="113"/>
      <c r="D111" s="113"/>
      <c r="E111" s="208"/>
      <c r="F111" s="82"/>
    </row>
    <row r="112" spans="1:8" ht="30" customHeight="1" x14ac:dyDescent="0.25">
      <c r="A112" s="9"/>
      <c r="B112" s="8" t="s">
        <v>105</v>
      </c>
      <c r="C112" s="113">
        <v>17000</v>
      </c>
      <c r="D112" s="113">
        <f>16912.05+2752.01</f>
        <v>19664.059999999998</v>
      </c>
      <c r="E112" s="208">
        <f t="shared" si="5"/>
        <v>1.1567094117647057</v>
      </c>
      <c r="F112" s="82"/>
    </row>
    <row r="113" spans="1:7" ht="30" customHeight="1" x14ac:dyDescent="0.25">
      <c r="A113" s="9" t="s">
        <v>1</v>
      </c>
      <c r="B113" s="8" t="s">
        <v>177</v>
      </c>
      <c r="C113" s="113">
        <f>60000-672</f>
        <v>59328</v>
      </c>
      <c r="D113" s="113">
        <f>2000+58454.35+11800</f>
        <v>72254.350000000006</v>
      </c>
      <c r="E113" s="208">
        <f t="shared" si="5"/>
        <v>1.2178794161272923</v>
      </c>
      <c r="F113" s="82"/>
    </row>
    <row r="114" spans="1:7" ht="30" customHeight="1" x14ac:dyDescent="0.25">
      <c r="A114" s="9"/>
      <c r="B114" s="8" t="s">
        <v>178</v>
      </c>
      <c r="C114" s="113"/>
      <c r="D114" s="113"/>
      <c r="E114" s="208"/>
      <c r="F114" s="82"/>
    </row>
    <row r="115" spans="1:7" ht="30" customHeight="1" x14ac:dyDescent="0.25">
      <c r="A115" s="9"/>
      <c r="B115" s="8" t="s">
        <v>108</v>
      </c>
      <c r="C115" s="113"/>
      <c r="D115" s="113"/>
      <c r="E115" s="208"/>
      <c r="F115" s="82"/>
    </row>
    <row r="116" spans="1:7" ht="30" customHeight="1" x14ac:dyDescent="0.25">
      <c r="A116" s="9"/>
      <c r="B116" s="8" t="s">
        <v>109</v>
      </c>
      <c r="C116" s="113"/>
      <c r="D116" s="113"/>
      <c r="E116" s="208"/>
      <c r="F116" s="82">
        <v>70</v>
      </c>
    </row>
    <row r="117" spans="1:7" ht="30" customHeight="1" x14ac:dyDescent="0.25">
      <c r="A117" s="9"/>
      <c r="B117" s="8" t="s">
        <v>110</v>
      </c>
      <c r="C117" s="113"/>
      <c r="D117" s="113"/>
      <c r="E117" s="208"/>
      <c r="F117" s="82"/>
    </row>
    <row r="118" spans="1:7" ht="30" customHeight="1" x14ac:dyDescent="0.25">
      <c r="A118" s="9"/>
      <c r="B118" s="8" t="s">
        <v>188</v>
      </c>
      <c r="C118" s="113">
        <v>0</v>
      </c>
      <c r="D118" s="113"/>
      <c r="E118" s="208"/>
      <c r="F118" s="82"/>
    </row>
    <row r="119" spans="1:7" ht="30" customHeight="1" x14ac:dyDescent="0.25">
      <c r="A119" s="9"/>
      <c r="B119" s="8" t="s">
        <v>111</v>
      </c>
      <c r="C119" s="113">
        <v>0</v>
      </c>
      <c r="D119" s="113"/>
      <c r="E119" s="208"/>
      <c r="F119" s="82"/>
    </row>
    <row r="120" spans="1:7" ht="30" customHeight="1" x14ac:dyDescent="0.25">
      <c r="A120" s="9"/>
      <c r="B120" s="8"/>
      <c r="C120" s="113">
        <v>0</v>
      </c>
      <c r="D120" s="113"/>
      <c r="E120" s="208"/>
      <c r="F120" s="82"/>
    </row>
    <row r="121" spans="1:7" ht="30" customHeight="1" x14ac:dyDescent="0.25">
      <c r="A121" s="9"/>
      <c r="B121" s="8" t="s">
        <v>114</v>
      </c>
      <c r="C121" s="113">
        <v>0</v>
      </c>
      <c r="D121" s="113"/>
      <c r="E121" s="208"/>
      <c r="F121" s="82"/>
    </row>
    <row r="122" spans="1:7" ht="30" customHeight="1" x14ac:dyDescent="0.25">
      <c r="A122" s="9"/>
      <c r="B122" s="8" t="s">
        <v>115</v>
      </c>
      <c r="C122" s="113">
        <v>0</v>
      </c>
      <c r="D122" s="113"/>
      <c r="E122" s="208"/>
      <c r="F122" s="82"/>
    </row>
    <row r="123" spans="1:7" ht="30" customHeight="1" x14ac:dyDescent="0.25">
      <c r="A123" s="9"/>
      <c r="B123" s="8" t="s">
        <v>116</v>
      </c>
      <c r="C123" s="113">
        <v>50</v>
      </c>
      <c r="D123" s="113">
        <v>47</v>
      </c>
      <c r="E123" s="208">
        <f t="shared" si="5"/>
        <v>0.94</v>
      </c>
      <c r="F123" s="82">
        <v>15</v>
      </c>
    </row>
    <row r="124" spans="1:7" ht="30" customHeight="1" x14ac:dyDescent="0.25">
      <c r="A124" s="9"/>
      <c r="B124" s="8" t="s">
        <v>117</v>
      </c>
      <c r="C124" s="113">
        <v>0</v>
      </c>
      <c r="D124" s="113"/>
      <c r="E124" s="208"/>
      <c r="F124" s="82"/>
    </row>
    <row r="125" spans="1:7" ht="30" customHeight="1" x14ac:dyDescent="0.25">
      <c r="A125" s="9"/>
      <c r="B125" s="8" t="s">
        <v>118</v>
      </c>
      <c r="C125" s="113">
        <v>1500</v>
      </c>
      <c r="D125" s="113">
        <v>1315</v>
      </c>
      <c r="E125" s="208">
        <f t="shared" si="5"/>
        <v>0.87666666666666671</v>
      </c>
      <c r="F125" s="82"/>
    </row>
    <row r="126" spans="1:7" s="75" customFormat="1" ht="30" customHeight="1" x14ac:dyDescent="0.25">
      <c r="A126" s="54" t="s">
        <v>23</v>
      </c>
      <c r="B126" s="55" t="s">
        <v>119</v>
      </c>
      <c r="C126" s="117">
        <f>C127+C128</f>
        <v>0</v>
      </c>
      <c r="D126" s="117">
        <f>D127+D128</f>
        <v>0</v>
      </c>
      <c r="E126" s="204" t="e">
        <f t="shared" si="5"/>
        <v>#DIV/0!</v>
      </c>
      <c r="F126" s="94">
        <f>F127+F128</f>
        <v>0</v>
      </c>
      <c r="G126" s="45"/>
    </row>
    <row r="127" spans="1:7" ht="30" customHeight="1" x14ac:dyDescent="0.25">
      <c r="A127" s="9"/>
      <c r="B127" s="8" t="s">
        <v>120</v>
      </c>
      <c r="C127" s="113">
        <v>0</v>
      </c>
      <c r="D127" s="113">
        <v>0</v>
      </c>
      <c r="E127" s="208"/>
      <c r="F127" s="82"/>
    </row>
    <row r="128" spans="1:7" ht="30" customHeight="1" x14ac:dyDescent="0.25">
      <c r="A128" s="9"/>
      <c r="B128" s="8" t="s">
        <v>179</v>
      </c>
      <c r="C128" s="113">
        <v>0</v>
      </c>
      <c r="D128" s="113">
        <v>0</v>
      </c>
      <c r="E128" s="208"/>
      <c r="F128" s="82"/>
    </row>
    <row r="129" spans="1:8" s="75" customFormat="1" ht="30" customHeight="1" x14ac:dyDescent="0.25">
      <c r="A129" s="54" t="s">
        <v>25</v>
      </c>
      <c r="B129" s="55" t="s">
        <v>122</v>
      </c>
      <c r="C129" s="117">
        <f>C130+C131+C132+C133</f>
        <v>3840</v>
      </c>
      <c r="D129" s="117">
        <f>D130+D131+D132+D133</f>
        <v>2400</v>
      </c>
      <c r="E129" s="204">
        <f t="shared" si="5"/>
        <v>0.625</v>
      </c>
      <c r="F129" s="94">
        <f t="shared" ref="F129" si="10">F130+F131+F132+F133</f>
        <v>0</v>
      </c>
      <c r="G129" s="45"/>
      <c r="H129" s="143"/>
    </row>
    <row r="130" spans="1:8" s="72" customFormat="1" ht="30" customHeight="1" x14ac:dyDescent="0.25">
      <c r="A130" s="44"/>
      <c r="B130" s="18" t="s">
        <v>123</v>
      </c>
      <c r="C130" s="113">
        <v>3840</v>
      </c>
      <c r="D130" s="113">
        <v>2400</v>
      </c>
      <c r="E130" s="208">
        <f t="shared" si="5"/>
        <v>0.625</v>
      </c>
      <c r="F130" s="82"/>
      <c r="G130" s="45"/>
      <c r="H130" s="148"/>
    </row>
    <row r="131" spans="1:8" ht="51" customHeight="1" x14ac:dyDescent="0.25">
      <c r="A131" s="9"/>
      <c r="B131" s="8" t="s">
        <v>124</v>
      </c>
      <c r="C131" s="113">
        <v>0</v>
      </c>
      <c r="D131" s="113"/>
      <c r="E131" s="208"/>
      <c r="F131" s="82"/>
    </row>
    <row r="132" spans="1:8" ht="30" customHeight="1" x14ac:dyDescent="0.25">
      <c r="A132" s="9"/>
      <c r="B132" s="8" t="s">
        <v>125</v>
      </c>
      <c r="C132" s="113">
        <v>0</v>
      </c>
      <c r="D132" s="113">
        <v>0</v>
      </c>
      <c r="E132" s="208"/>
      <c r="F132" s="82"/>
    </row>
    <row r="133" spans="1:8" ht="30" customHeight="1" x14ac:dyDescent="0.25">
      <c r="A133" s="9"/>
      <c r="B133" s="8" t="s">
        <v>126</v>
      </c>
      <c r="C133" s="113">
        <v>0</v>
      </c>
      <c r="D133" s="113">
        <v>0</v>
      </c>
      <c r="E133" s="208"/>
      <c r="F133" s="82"/>
    </row>
    <row r="134" spans="1:8" s="74" customFormat="1" ht="30" customHeight="1" x14ac:dyDescent="0.25">
      <c r="A134" s="12" t="s">
        <v>27</v>
      </c>
      <c r="B134" s="22" t="s">
        <v>128</v>
      </c>
      <c r="C134" s="121">
        <f t="shared" ref="C134" si="11">C9-C29</f>
        <v>964073</v>
      </c>
      <c r="D134" s="118">
        <f t="shared" ref="D134:E134" si="12">D9-D29</f>
        <v>344164.1100000001</v>
      </c>
      <c r="E134" s="204">
        <f t="shared" si="5"/>
        <v>0.35698967816752475</v>
      </c>
      <c r="F134" s="95">
        <f t="shared" ref="F134" si="13">F9-F29</f>
        <v>339810</v>
      </c>
      <c r="G134" s="45"/>
      <c r="H134" s="146"/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6C99-3CDD-4783-A61B-00F2556EFDD5}">
  <dimension ref="A1:F134"/>
  <sheetViews>
    <sheetView topLeftCell="A122" workbookViewId="0">
      <selection activeCell="I134" sqref="I134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6" width="19.42578125" style="96" hidden="1" customWidth="1"/>
    <col min="7" max="7" width="16.42578125" style="45" bestFit="1" customWidth="1"/>
    <col min="8" max="8" width="9.140625" style="45"/>
    <col min="9" max="9" width="15.85546875" style="45" bestFit="1" customWidth="1"/>
    <col min="10" max="16384" width="9.140625" style="45"/>
  </cols>
  <sheetData>
    <row r="1" spans="1:6" x14ac:dyDescent="0.25">
      <c r="A1" s="29"/>
      <c r="B1" s="30"/>
      <c r="C1" s="31"/>
      <c r="D1" s="31"/>
      <c r="E1" s="31"/>
      <c r="F1" s="86"/>
    </row>
    <row r="2" spans="1:6" s="75" customFormat="1" x14ac:dyDescent="0.25">
      <c r="A2" s="64"/>
      <c r="B2" s="14" t="s">
        <v>0</v>
      </c>
      <c r="C2" s="65"/>
      <c r="D2" s="99"/>
      <c r="E2" s="65"/>
      <c r="F2" s="87"/>
    </row>
    <row r="3" spans="1:6" s="47" customFormat="1" ht="15.75" x14ac:dyDescent="0.25">
      <c r="A3" s="1" t="s">
        <v>1</v>
      </c>
      <c r="B3" s="81" t="s">
        <v>200</v>
      </c>
      <c r="C3" s="25"/>
      <c r="D3" s="25"/>
      <c r="E3" s="25"/>
      <c r="F3" s="88"/>
    </row>
    <row r="4" spans="1:6" s="75" customFormat="1" ht="15.75" x14ac:dyDescent="0.25">
      <c r="A4" s="66"/>
      <c r="B4" s="159" t="s">
        <v>207</v>
      </c>
      <c r="C4" s="159"/>
      <c r="D4" s="159"/>
      <c r="E4" s="159"/>
      <c r="F4" s="89"/>
    </row>
    <row r="5" spans="1:6" s="73" customFormat="1" ht="15.75" x14ac:dyDescent="0.25">
      <c r="A5" s="1"/>
      <c r="B5" s="13"/>
      <c r="C5" s="23"/>
      <c r="D5" s="23"/>
      <c r="E5" s="23"/>
      <c r="F5" s="97"/>
    </row>
    <row r="6" spans="1:6" s="73" customFormat="1" ht="15" customHeight="1" x14ac:dyDescent="0.25">
      <c r="A6" s="160" t="s">
        <v>1</v>
      </c>
      <c r="B6" s="163" t="s">
        <v>2</v>
      </c>
      <c r="C6" s="187" t="s">
        <v>169</v>
      </c>
      <c r="D6" s="187" t="s">
        <v>175</v>
      </c>
      <c r="E6" s="197" t="s">
        <v>199</v>
      </c>
      <c r="F6" s="169" t="s">
        <v>150</v>
      </c>
    </row>
    <row r="7" spans="1:6" s="73" customFormat="1" ht="15" customHeight="1" x14ac:dyDescent="0.25">
      <c r="A7" s="161"/>
      <c r="B7" s="164"/>
      <c r="C7" s="188"/>
      <c r="D7" s="188"/>
      <c r="E7" s="198"/>
      <c r="F7" s="170"/>
    </row>
    <row r="8" spans="1:6" s="73" customFormat="1" ht="40.5" customHeight="1" x14ac:dyDescent="0.25">
      <c r="A8" s="162"/>
      <c r="B8" s="165"/>
      <c r="C8" s="189"/>
      <c r="D8" s="189"/>
      <c r="E8" s="199"/>
      <c r="F8" s="171"/>
    </row>
    <row r="9" spans="1:6" s="73" customFormat="1" ht="30" customHeight="1" x14ac:dyDescent="0.25">
      <c r="A9" s="2" t="s">
        <v>3</v>
      </c>
      <c r="B9" s="15" t="s">
        <v>4</v>
      </c>
      <c r="C9" s="119">
        <f>C10+C11+C12+C13+C14+C15+C16+C17+C18+C19+C20+C21+C22+C23+C24+C25</f>
        <v>7002740</v>
      </c>
      <c r="D9" s="119">
        <f>D10+D11+D12+D13+D14+D15+D16+D17+D18+D19+D20+D21+D22+D23+D24+D25</f>
        <v>7131221.1600000001</v>
      </c>
      <c r="E9" s="209">
        <f>D9/C9</f>
        <v>1.0183472697829707</v>
      </c>
      <c r="F9" s="91">
        <f>F10+F11+F12+F13+F14+F15+F16+F17+F18+F19+F20+F21+F22+F23+F24+F25</f>
        <v>426200</v>
      </c>
    </row>
    <row r="10" spans="1:6" ht="30" customHeight="1" x14ac:dyDescent="0.25">
      <c r="A10" s="35" t="s">
        <v>5</v>
      </c>
      <c r="B10" s="16" t="s">
        <v>6</v>
      </c>
      <c r="C10" s="113">
        <f>'02- KOMUNALNI'!C10+'04-H.G.I.'!C10</f>
        <v>0</v>
      </c>
      <c r="D10" s="113">
        <f>'02- KOMUNALNI'!D10+'04-H.G.I.'!D10</f>
        <v>0</v>
      </c>
      <c r="E10" s="207"/>
      <c r="F10" s="82"/>
    </row>
    <row r="11" spans="1:6" ht="30" customHeight="1" x14ac:dyDescent="0.25">
      <c r="A11" s="35" t="s">
        <v>7</v>
      </c>
      <c r="B11" s="8" t="s">
        <v>8</v>
      </c>
      <c r="C11" s="113">
        <f>'02- KOMUNALNI'!C11+'04-H.G.I.'!C11</f>
        <v>6634129</v>
      </c>
      <c r="D11" s="113">
        <f>'02- KOMUNALNI'!D11+'04-H.G.I.'!D11</f>
        <v>6720655.7600000007</v>
      </c>
      <c r="E11" s="207">
        <f t="shared" ref="E10:E25" si="0">D11/C11</f>
        <v>1.0130426707108049</v>
      </c>
      <c r="F11" s="82"/>
    </row>
    <row r="12" spans="1:6" ht="30" customHeight="1" x14ac:dyDescent="0.25">
      <c r="A12" s="35" t="s">
        <v>9</v>
      </c>
      <c r="B12" s="8" t="s">
        <v>10</v>
      </c>
      <c r="C12" s="113">
        <f>'02- KOMUNALNI'!C12+'04-H.G.I.'!C12</f>
        <v>23000</v>
      </c>
      <c r="D12" s="113">
        <f>'02- KOMUNALNI'!D12+'04-H.G.I.'!D12</f>
        <v>21900</v>
      </c>
      <c r="E12" s="207">
        <f t="shared" si="0"/>
        <v>0.95217391304347831</v>
      </c>
      <c r="F12" s="82"/>
    </row>
    <row r="13" spans="1:6" ht="30" customHeight="1" x14ac:dyDescent="0.25">
      <c r="A13" s="35" t="s">
        <v>11</v>
      </c>
      <c r="B13" s="8" t="s">
        <v>192</v>
      </c>
      <c r="C13" s="113">
        <f>'02- KOMUNALNI'!C13+'04-H.G.I.'!C13</f>
        <v>0</v>
      </c>
      <c r="D13" s="113">
        <f>'02- KOMUNALNI'!D13+'04-H.G.I.'!D13</f>
        <v>0</v>
      </c>
      <c r="E13" s="207"/>
      <c r="F13" s="82"/>
    </row>
    <row r="14" spans="1:6" ht="30" customHeight="1" x14ac:dyDescent="0.25">
      <c r="A14" s="35" t="s">
        <v>15</v>
      </c>
      <c r="B14" s="8" t="s">
        <v>193</v>
      </c>
      <c r="C14" s="113">
        <f>'02- KOMUNALNI'!C14+'04-H.G.I.'!C14</f>
        <v>0</v>
      </c>
      <c r="D14" s="113">
        <f>'02- KOMUNALNI'!D14+'04-H.G.I.'!D14</f>
        <v>0</v>
      </c>
      <c r="E14" s="207"/>
      <c r="F14" s="82"/>
    </row>
    <row r="15" spans="1:6" ht="30" customHeight="1" x14ac:dyDescent="0.25">
      <c r="A15" s="35" t="s">
        <v>19</v>
      </c>
      <c r="B15" s="8" t="s">
        <v>194</v>
      </c>
      <c r="C15" s="113">
        <f>'02- KOMUNALNI'!C15+'04-H.G.I.'!C15</f>
        <v>0</v>
      </c>
      <c r="D15" s="113">
        <f>'02- KOMUNALNI'!D15+'04-H.G.I.'!D15</f>
        <v>0</v>
      </c>
      <c r="E15" s="207"/>
      <c r="F15" s="82">
        <v>226500</v>
      </c>
    </row>
    <row r="16" spans="1:6" ht="30" customHeight="1" x14ac:dyDescent="0.25">
      <c r="A16" s="35" t="s">
        <v>21</v>
      </c>
      <c r="B16" s="8" t="s">
        <v>16</v>
      </c>
      <c r="C16" s="113">
        <f>'02- KOMUNALNI'!C16+'04-H.G.I.'!C16</f>
        <v>250000</v>
      </c>
      <c r="D16" s="113">
        <f>'02- KOMUNALNI'!D16+'04-H.G.I.'!D16</f>
        <v>260968.76</v>
      </c>
      <c r="E16" s="207">
        <f t="shared" si="0"/>
        <v>1.0438750400000001</v>
      </c>
      <c r="F16" s="82">
        <v>192000</v>
      </c>
    </row>
    <row r="17" spans="1:6" ht="30" customHeight="1" x14ac:dyDescent="0.25">
      <c r="A17" s="35" t="s">
        <v>23</v>
      </c>
      <c r="B17" s="8" t="s">
        <v>191</v>
      </c>
      <c r="C17" s="113">
        <f>'02- KOMUNALNI'!C17+'04-H.G.I.'!C17</f>
        <v>0</v>
      </c>
      <c r="D17" s="113">
        <f>'02- KOMUNALNI'!D17+'04-H.G.I.'!D17</f>
        <v>0</v>
      </c>
      <c r="E17" s="207"/>
      <c r="F17" s="82"/>
    </row>
    <row r="18" spans="1:6" ht="30" customHeight="1" x14ac:dyDescent="0.25">
      <c r="A18" s="35" t="s">
        <v>25</v>
      </c>
      <c r="B18" s="8" t="s">
        <v>195</v>
      </c>
      <c r="C18" s="113">
        <f>'02- KOMUNALNI'!C18+'04-H.G.I.'!C18</f>
        <v>0</v>
      </c>
      <c r="D18" s="113">
        <f>'02- KOMUNALNI'!D18+'04-H.G.I.'!D18</f>
        <v>1249.1500000000001</v>
      </c>
      <c r="E18" s="207" t="e">
        <f t="shared" si="0"/>
        <v>#DIV/0!</v>
      </c>
      <c r="F18" s="82"/>
    </row>
    <row r="19" spans="1:6" ht="30" customHeight="1" x14ac:dyDescent="0.25">
      <c r="A19" s="35" t="s">
        <v>27</v>
      </c>
      <c r="B19" s="8"/>
      <c r="C19" s="113">
        <f>'02- KOMUNALNI'!C19+'04-H.G.I.'!C19</f>
        <v>0</v>
      </c>
      <c r="D19" s="113">
        <f>'02- KOMUNALNI'!D19+'04-H.G.I.'!D19</f>
        <v>0</v>
      </c>
      <c r="E19" s="207"/>
      <c r="F19" s="82"/>
    </row>
    <row r="20" spans="1:6" ht="30" customHeight="1" x14ac:dyDescent="0.25">
      <c r="A20" s="35" t="s">
        <v>29</v>
      </c>
      <c r="B20" s="8" t="s">
        <v>30</v>
      </c>
      <c r="C20" s="113">
        <f>'02- KOMUNALNI'!C20+'04-H.G.I.'!C20</f>
        <v>0</v>
      </c>
      <c r="D20" s="113">
        <f>'02- KOMUNALNI'!D20+'04-H.G.I.'!D20</f>
        <v>0</v>
      </c>
      <c r="E20" s="207"/>
      <c r="F20" s="82"/>
    </row>
    <row r="21" spans="1:6" ht="30" customHeight="1" x14ac:dyDescent="0.25">
      <c r="A21" s="35" t="s">
        <v>31</v>
      </c>
      <c r="B21" s="8" t="s">
        <v>196</v>
      </c>
      <c r="C21" s="113">
        <f>'02- KOMUNALNI'!C21+'04-H.G.I.'!C21</f>
        <v>0</v>
      </c>
      <c r="D21" s="113">
        <f>'02- KOMUNALNI'!D21+'04-H.G.I.'!D21</f>
        <v>0</v>
      </c>
      <c r="E21" s="207"/>
      <c r="F21" s="82"/>
    </row>
    <row r="22" spans="1:6" ht="30" customHeight="1" x14ac:dyDescent="0.25">
      <c r="A22" s="35" t="s">
        <v>33</v>
      </c>
      <c r="B22" s="8" t="s">
        <v>197</v>
      </c>
      <c r="C22" s="113">
        <f>'02- KOMUNALNI'!C22+'04-H.G.I.'!C22</f>
        <v>0</v>
      </c>
      <c r="D22" s="113">
        <f>'02- KOMUNALNI'!D22+'04-H.G.I.'!D22</f>
        <v>3209.01</v>
      </c>
      <c r="E22" s="207" t="e">
        <f t="shared" si="0"/>
        <v>#DIV/0!</v>
      </c>
      <c r="F22" s="82"/>
    </row>
    <row r="23" spans="1:6" ht="30" customHeight="1" x14ac:dyDescent="0.25">
      <c r="A23" s="35" t="s">
        <v>35</v>
      </c>
      <c r="B23" s="8" t="s">
        <v>32</v>
      </c>
      <c r="C23" s="113">
        <f>'02- KOMUNALNI'!C23+'04-H.G.I.'!C23</f>
        <v>20000</v>
      </c>
      <c r="D23" s="113">
        <f>'02- KOMUNALNI'!D23+'04-H.G.I.'!D23</f>
        <v>310.8</v>
      </c>
      <c r="E23" s="207">
        <f t="shared" si="0"/>
        <v>1.554E-2</v>
      </c>
      <c r="F23" s="82">
        <v>5000</v>
      </c>
    </row>
    <row r="24" spans="1:6" ht="30" customHeight="1" x14ac:dyDescent="0.25">
      <c r="A24" s="35" t="s">
        <v>189</v>
      </c>
      <c r="B24" s="8" t="s">
        <v>34</v>
      </c>
      <c r="C24" s="113">
        <f>'02- KOMUNALNI'!C24+'04-H.G.I.'!C24</f>
        <v>0</v>
      </c>
      <c r="D24" s="113">
        <f>'02- KOMUNALNI'!D24+'04-H.G.I.'!D24</f>
        <v>0</v>
      </c>
      <c r="E24" s="207"/>
      <c r="F24" s="82"/>
    </row>
    <row r="25" spans="1:6" s="79" customFormat="1" ht="30" customHeight="1" x14ac:dyDescent="0.25">
      <c r="A25" s="35" t="s">
        <v>190</v>
      </c>
      <c r="B25" s="8" t="s">
        <v>36</v>
      </c>
      <c r="C25" s="113">
        <f>'02- KOMUNALNI'!C25+'04-H.G.I.'!C25</f>
        <v>75611</v>
      </c>
      <c r="D25" s="113">
        <f>'02- KOMUNALNI'!D25+'04-H.G.I.'!D25</f>
        <v>122927.67999999999</v>
      </c>
      <c r="E25" s="207">
        <f t="shared" si="0"/>
        <v>1.625790956342331</v>
      </c>
      <c r="F25" s="82">
        <v>2700</v>
      </c>
    </row>
    <row r="26" spans="1:6" s="73" customFormat="1" ht="30" customHeight="1" x14ac:dyDescent="0.25">
      <c r="A26" s="160" t="s">
        <v>1</v>
      </c>
      <c r="B26" s="175" t="s">
        <v>37</v>
      </c>
      <c r="C26" s="187" t="s">
        <v>169</v>
      </c>
      <c r="D26" s="187" t="s">
        <v>175</v>
      </c>
      <c r="E26" s="197" t="s">
        <v>199</v>
      </c>
      <c r="F26" s="169" t="s">
        <v>150</v>
      </c>
    </row>
    <row r="27" spans="1:6" s="73" customFormat="1" ht="25.5" customHeight="1" x14ac:dyDescent="0.25">
      <c r="A27" s="161"/>
      <c r="B27" s="176"/>
      <c r="C27" s="188"/>
      <c r="D27" s="188"/>
      <c r="E27" s="198"/>
      <c r="F27" s="170"/>
    </row>
    <row r="28" spans="1:6" s="73" customFormat="1" ht="9" customHeight="1" x14ac:dyDescent="0.25">
      <c r="A28" s="162"/>
      <c r="B28" s="177"/>
      <c r="C28" s="189"/>
      <c r="D28" s="189"/>
      <c r="E28" s="199"/>
      <c r="F28" s="171"/>
    </row>
    <row r="29" spans="1:6" s="73" customFormat="1" ht="30" customHeight="1" x14ac:dyDescent="0.25">
      <c r="A29" s="4" t="s">
        <v>38</v>
      </c>
      <c r="B29" s="17" t="s">
        <v>39</v>
      </c>
      <c r="C29" s="120">
        <f>C31+C48+C99+C101+C105+C109+C126+C129+C107</f>
        <v>5204278</v>
      </c>
      <c r="D29" s="120">
        <f>D31+D48+D99+D101+D105+D109+D126+D129+D107</f>
        <v>4959530.79</v>
      </c>
      <c r="E29" s="210">
        <f>D29/C29</f>
        <v>0.95297191848706009</v>
      </c>
      <c r="F29" s="92">
        <f t="shared" ref="E29:F29" si="1">F31+F48+F99+F101+F105+F109+F126+F129+F107</f>
        <v>86390</v>
      </c>
    </row>
    <row r="30" spans="1:6" s="73" customFormat="1" ht="30" customHeight="1" x14ac:dyDescent="0.25">
      <c r="A30" s="7"/>
      <c r="B30" s="76"/>
      <c r="C30" s="127"/>
      <c r="D30" s="127"/>
      <c r="E30" s="207"/>
      <c r="F30" s="98"/>
    </row>
    <row r="31" spans="1:6" s="75" customFormat="1" ht="30" customHeight="1" x14ac:dyDescent="0.25">
      <c r="A31" s="49" t="s">
        <v>5</v>
      </c>
      <c r="B31" s="50" t="s">
        <v>40</v>
      </c>
      <c r="C31" s="116">
        <f>C32+C33+C34+C35+C36+C37+C38+C39+C40+C41+C42+C43+C44+C45+C46+C47</f>
        <v>348248</v>
      </c>
      <c r="D31" s="116">
        <f>D32+D33+D34+D35+D36+D37+D38+D39+D40+D41+D42+D43+D44+D45+D46+D47</f>
        <v>341436.14</v>
      </c>
      <c r="E31" s="204">
        <f>D31/C31</f>
        <v>0.98043962922974437</v>
      </c>
      <c r="F31" s="93">
        <f t="shared" ref="E31:F31" si="2">F32+F33+F34+F35+F36+F37+F38+F39+F40+F41+F42+F43+F44+F45+F46+F47</f>
        <v>7775</v>
      </c>
    </row>
    <row r="32" spans="1:6" s="72" customFormat="1" ht="30" customHeight="1" x14ac:dyDescent="0.25">
      <c r="A32" s="42"/>
      <c r="B32" s="18" t="s">
        <v>41</v>
      </c>
      <c r="C32" s="113">
        <f>'02- KOMUNALNI'!C32+'04-H.G.I.'!C32</f>
        <v>23912</v>
      </c>
      <c r="D32" s="113">
        <f>'02- KOMUNALNI'!D32+'04-H.G.I.'!D32</f>
        <v>27476.09</v>
      </c>
      <c r="E32" s="208">
        <f t="shared" ref="E32:E95" si="3">D32/C32</f>
        <v>1.1490502676480427</v>
      </c>
      <c r="F32" s="82">
        <v>250</v>
      </c>
    </row>
    <row r="33" spans="1:6" s="72" customFormat="1" ht="30" customHeight="1" x14ac:dyDescent="0.25">
      <c r="A33" s="42"/>
      <c r="B33" s="18" t="s">
        <v>42</v>
      </c>
      <c r="C33" s="113">
        <f>'02- KOMUNALNI'!C33+'04-H.G.I.'!C33</f>
        <v>5620</v>
      </c>
      <c r="D33" s="113">
        <f>'02- KOMUNALNI'!D33+'04-H.G.I.'!D33</f>
        <v>4691.3300000000008</v>
      </c>
      <c r="E33" s="208">
        <f t="shared" si="3"/>
        <v>0.83475622775800729</v>
      </c>
      <c r="F33" s="82">
        <v>25</v>
      </c>
    </row>
    <row r="34" spans="1:6" ht="30" customHeight="1" x14ac:dyDescent="0.25">
      <c r="A34" s="9" t="s">
        <v>1</v>
      </c>
      <c r="B34" s="8" t="s">
        <v>198</v>
      </c>
      <c r="C34" s="113">
        <f>'02- KOMUNALNI'!C34+'04-H.G.I.'!C34</f>
        <v>350</v>
      </c>
      <c r="D34" s="113">
        <f>'02- KOMUNALNI'!D34+'04-H.G.I.'!D34</f>
        <v>533.21</v>
      </c>
      <c r="E34" s="208">
        <f t="shared" si="3"/>
        <v>1.5234571428571431</v>
      </c>
      <c r="F34" s="82">
        <v>0</v>
      </c>
    </row>
    <row r="35" spans="1:6" ht="30" customHeight="1" x14ac:dyDescent="0.25">
      <c r="A35" s="9"/>
      <c r="B35" s="8" t="s">
        <v>44</v>
      </c>
      <c r="C35" s="113">
        <f>'02- KOMUNALNI'!C35+'04-H.G.I.'!C35</f>
        <v>2000</v>
      </c>
      <c r="D35" s="113">
        <f>'02- KOMUNALNI'!D35+'04-H.G.I.'!D35</f>
        <v>2177.7199999999998</v>
      </c>
      <c r="E35" s="208">
        <f t="shared" si="3"/>
        <v>1.0888599999999999</v>
      </c>
      <c r="F35" s="82"/>
    </row>
    <row r="36" spans="1:6" ht="30" customHeight="1" x14ac:dyDescent="0.25">
      <c r="A36" s="9"/>
      <c r="B36" s="8" t="s">
        <v>45</v>
      </c>
      <c r="C36" s="113">
        <f>'02- KOMUNALNI'!C36+'04-H.G.I.'!C36</f>
        <v>7200</v>
      </c>
      <c r="D36" s="113">
        <f>'02- KOMUNALNI'!D36+'04-H.G.I.'!D36</f>
        <v>1114.93</v>
      </c>
      <c r="E36" s="208">
        <f t="shared" si="3"/>
        <v>0.15485138888888889</v>
      </c>
      <c r="F36" s="82"/>
    </row>
    <row r="37" spans="1:6" ht="30" customHeight="1" x14ac:dyDescent="0.25">
      <c r="A37" s="9" t="s">
        <v>1</v>
      </c>
      <c r="B37" s="8" t="s">
        <v>46</v>
      </c>
      <c r="C37" s="113">
        <f>'02- KOMUNALNI'!C37+'04-H.G.I.'!C37</f>
        <v>0</v>
      </c>
      <c r="D37" s="113">
        <f>'02- KOMUNALNI'!D37+'04-H.G.I.'!D37</f>
        <v>0</v>
      </c>
      <c r="E37" s="208"/>
      <c r="F37" s="82"/>
    </row>
    <row r="38" spans="1:6" ht="30" customHeight="1" x14ac:dyDescent="0.25">
      <c r="A38" s="9"/>
      <c r="B38" s="8" t="s">
        <v>47</v>
      </c>
      <c r="C38" s="113">
        <f>'02- KOMUNALNI'!C38+'04-H.G.I.'!C38</f>
        <v>0</v>
      </c>
      <c r="D38" s="113">
        <f>'02- KOMUNALNI'!D38+'04-H.G.I.'!D38</f>
        <v>0</v>
      </c>
      <c r="E38" s="208"/>
      <c r="F38" s="82">
        <v>2500</v>
      </c>
    </row>
    <row r="39" spans="1:6" ht="30" customHeight="1" x14ac:dyDescent="0.25">
      <c r="A39" s="9"/>
      <c r="B39" s="8" t="s">
        <v>48</v>
      </c>
      <c r="C39" s="113">
        <f>'02- KOMUNALNI'!C39+'04-H.G.I.'!C39</f>
        <v>122000</v>
      </c>
      <c r="D39" s="113">
        <f>'02- KOMUNALNI'!D39+'04-H.G.I.'!D39</f>
        <v>139914.88</v>
      </c>
      <c r="E39" s="208">
        <f t="shared" si="3"/>
        <v>1.1468432786885245</v>
      </c>
      <c r="F39" s="82">
        <v>5000</v>
      </c>
    </row>
    <row r="40" spans="1:6" ht="30" customHeight="1" x14ac:dyDescent="0.25">
      <c r="A40" s="9"/>
      <c r="B40" s="8" t="s">
        <v>180</v>
      </c>
      <c r="C40" s="113">
        <f>'02- KOMUNALNI'!C40+'04-H.G.I.'!C40</f>
        <v>0</v>
      </c>
      <c r="D40" s="113">
        <f>'02- KOMUNALNI'!D40+'04-H.G.I.'!D40</f>
        <v>5730.77</v>
      </c>
      <c r="E40" s="208" t="e">
        <f t="shared" si="3"/>
        <v>#DIV/0!</v>
      </c>
      <c r="F40" s="82"/>
    </row>
    <row r="41" spans="1:6" ht="30" customHeight="1" x14ac:dyDescent="0.25">
      <c r="A41" s="9"/>
      <c r="B41" s="8" t="s">
        <v>49</v>
      </c>
      <c r="C41" s="113">
        <f>'02- KOMUNALNI'!C41+'04-H.G.I.'!C41</f>
        <v>0</v>
      </c>
      <c r="D41" s="113">
        <f>'02- KOMUNALNI'!D41+'04-H.G.I.'!D41</f>
        <v>0</v>
      </c>
      <c r="E41" s="208"/>
      <c r="F41" s="82"/>
    </row>
    <row r="42" spans="1:6" ht="30" customHeight="1" x14ac:dyDescent="0.25">
      <c r="A42" s="9"/>
      <c r="B42" s="8" t="s">
        <v>133</v>
      </c>
      <c r="C42" s="113">
        <f>'02- KOMUNALNI'!C42+'04-H.G.I.'!C42</f>
        <v>0</v>
      </c>
      <c r="D42" s="113">
        <f>'02- KOMUNALNI'!D42+'04-H.G.I.'!D42</f>
        <v>0</v>
      </c>
      <c r="E42" s="208"/>
      <c r="F42" s="82"/>
    </row>
    <row r="43" spans="1:6" ht="30" customHeight="1" x14ac:dyDescent="0.25">
      <c r="A43" s="9"/>
      <c r="B43" s="8" t="s">
        <v>139</v>
      </c>
      <c r="C43" s="113">
        <f>'02- KOMUNALNI'!C43+'04-H.G.I.'!C43</f>
        <v>0</v>
      </c>
      <c r="D43" s="113">
        <f>'02- KOMUNALNI'!D43+'04-H.G.I.'!D43</f>
        <v>0</v>
      </c>
      <c r="E43" s="208"/>
      <c r="F43" s="82"/>
    </row>
    <row r="44" spans="1:6" ht="30" customHeight="1" x14ac:dyDescent="0.25">
      <c r="A44" s="9"/>
      <c r="B44" s="8" t="s">
        <v>50</v>
      </c>
      <c r="C44" s="113">
        <f>'02- KOMUNALNI'!C44+'04-H.G.I.'!C44</f>
        <v>0</v>
      </c>
      <c r="D44" s="113">
        <f>'02- KOMUNALNI'!D44+'04-H.G.I.'!D44</f>
        <v>0</v>
      </c>
      <c r="E44" s="208"/>
      <c r="F44" s="82"/>
    </row>
    <row r="45" spans="1:6" ht="30" customHeight="1" x14ac:dyDescent="0.25">
      <c r="A45" s="9"/>
      <c r="B45" s="8" t="s">
        <v>51</v>
      </c>
      <c r="C45" s="113">
        <f>'02- KOMUNALNI'!C45+'04-H.G.I.'!C45</f>
        <v>0</v>
      </c>
      <c r="D45" s="113">
        <f>'02- KOMUNALNI'!D45+'04-H.G.I.'!D45</f>
        <v>0</v>
      </c>
      <c r="E45" s="208"/>
      <c r="F45" s="82"/>
    </row>
    <row r="46" spans="1:6" ht="30" customHeight="1" x14ac:dyDescent="0.25">
      <c r="A46" s="9"/>
      <c r="B46" s="8" t="s">
        <v>134</v>
      </c>
      <c r="C46" s="113">
        <f>'02- KOMUNALNI'!C46+'04-H.G.I.'!C46</f>
        <v>0</v>
      </c>
      <c r="D46" s="113">
        <f>'02- KOMUNALNI'!D46+'04-H.G.I.'!D46</f>
        <v>0</v>
      </c>
      <c r="E46" s="208"/>
      <c r="F46" s="82"/>
    </row>
    <row r="47" spans="1:6" ht="30" customHeight="1" x14ac:dyDescent="0.25">
      <c r="A47" s="9"/>
      <c r="B47" s="8" t="s">
        <v>52</v>
      </c>
      <c r="C47" s="113">
        <f>'02- KOMUNALNI'!C47+'04-H.G.I.'!C47</f>
        <v>187166</v>
      </c>
      <c r="D47" s="113">
        <f>'02- KOMUNALNI'!D47+'04-H.G.I.'!D47</f>
        <v>159797.21</v>
      </c>
      <c r="E47" s="208">
        <f t="shared" si="3"/>
        <v>0.85377264032997446</v>
      </c>
      <c r="F47" s="82"/>
    </row>
    <row r="48" spans="1:6" s="75" customFormat="1" ht="30" customHeight="1" x14ac:dyDescent="0.25">
      <c r="A48" s="49" t="s">
        <v>7</v>
      </c>
      <c r="B48" s="50" t="s">
        <v>53</v>
      </c>
      <c r="C48" s="116">
        <f>C49+C50+C51+C52+C53+C54+C55+C56+C57+C58+C59+C60+C61+C62+C63+C64+C65+C66+C67+C68+C69+C70+C71+C72+C73+C75+C76+C77+C78+C79+C80+C81+C82+C83+C84+C85+C86+C87+C88+C89+C90+C91+C92+C93+C94+C95+C96+C97+C98+C74</f>
        <v>2702228</v>
      </c>
      <c r="D48" s="116">
        <f>D49+D50+D51+D52+D53+D54+D55+D56+D57+D58+D59+D60+D61+D62+D63+D64+D65+D66+D67+D68+D69+D70+D71+D72+D73+D75+D76+D77+D78+D79+D80+D81+D82+D83+D84+D85+D86+D87+D88+D89+D90+D91+D92+D93+D94+D95+D96+D97+D98+D74</f>
        <v>2625110.34</v>
      </c>
      <c r="E48" s="204">
        <f t="shared" si="3"/>
        <v>0.97146145328965572</v>
      </c>
      <c r="F48" s="93">
        <f t="shared" ref="E48:F48" si="4">F49+F50+F51+F52+F53+F54+F55+F56+F57+F58+F59+F60+F61+F62+F63+F64+F65+F66+F67+F68+F69+F70+F71+F72+F73+F75+F76+F77+F78+F79+F80+F81+F82+F83+F84+F85+F86+F87+F88+F89+F90+F91+F92+F93+F94+F95+F96+F97+F98+F74</f>
        <v>62960</v>
      </c>
    </row>
    <row r="49" spans="1:6" ht="30" customHeight="1" x14ac:dyDescent="0.25">
      <c r="A49" s="9"/>
      <c r="B49" s="8" t="s">
        <v>54</v>
      </c>
      <c r="C49" s="113">
        <f>'02- KOMUNALNI'!C49+'04-H.G.I.'!C49</f>
        <v>6250</v>
      </c>
      <c r="D49" s="113">
        <f>'02- KOMUNALNI'!D49+'04-H.G.I.'!D49</f>
        <v>5136.46</v>
      </c>
      <c r="E49" s="208">
        <f t="shared" si="3"/>
        <v>0.82183360000000005</v>
      </c>
      <c r="F49" s="82"/>
    </row>
    <row r="50" spans="1:6" ht="30" customHeight="1" x14ac:dyDescent="0.25">
      <c r="A50" s="9"/>
      <c r="B50" s="8" t="s">
        <v>176</v>
      </c>
      <c r="C50" s="113">
        <f>'02- KOMUNALNI'!C50+'04-H.G.I.'!C50</f>
        <v>0</v>
      </c>
      <c r="D50" s="113">
        <f>'02- KOMUNALNI'!D50+'04-H.G.I.'!D50</f>
        <v>0</v>
      </c>
      <c r="E50" s="208"/>
      <c r="F50" s="82"/>
    </row>
    <row r="51" spans="1:6" ht="30" customHeight="1" x14ac:dyDescent="0.25">
      <c r="A51" s="9"/>
      <c r="B51" s="8" t="s">
        <v>56</v>
      </c>
      <c r="C51" s="113">
        <f>'02- KOMUNALNI'!C51+'04-H.G.I.'!C51</f>
        <v>0</v>
      </c>
      <c r="D51" s="113">
        <f>'02- KOMUNALNI'!D51+'04-H.G.I.'!D51</f>
        <v>0</v>
      </c>
      <c r="E51" s="208"/>
      <c r="F51" s="82"/>
    </row>
    <row r="52" spans="1:6" ht="30" customHeight="1" x14ac:dyDescent="0.25">
      <c r="A52" s="9"/>
      <c r="B52" s="8" t="s">
        <v>57</v>
      </c>
      <c r="C52" s="113">
        <f>'02- KOMUNALNI'!C52+'04-H.G.I.'!C52</f>
        <v>6000</v>
      </c>
      <c r="D52" s="113">
        <f>'02- KOMUNALNI'!D52+'04-H.G.I.'!D52</f>
        <v>5660</v>
      </c>
      <c r="E52" s="208">
        <f t="shared" si="3"/>
        <v>0.94333333333333336</v>
      </c>
      <c r="F52" s="82">
        <v>500</v>
      </c>
    </row>
    <row r="53" spans="1:6" ht="30" customHeight="1" x14ac:dyDescent="0.25">
      <c r="A53" s="9"/>
      <c r="B53" s="8" t="s">
        <v>58</v>
      </c>
      <c r="C53" s="113">
        <f>'02- KOMUNALNI'!C53+'04-H.G.I.'!C53</f>
        <v>0</v>
      </c>
      <c r="D53" s="113">
        <f>'02- KOMUNALNI'!D53+'04-H.G.I.'!D53</f>
        <v>0</v>
      </c>
      <c r="E53" s="208"/>
      <c r="F53" s="82"/>
    </row>
    <row r="54" spans="1:6" ht="30" customHeight="1" x14ac:dyDescent="0.25">
      <c r="A54" s="9"/>
      <c r="B54" s="8" t="s">
        <v>59</v>
      </c>
      <c r="C54" s="113">
        <f>'02- KOMUNALNI'!C54+'04-H.G.I.'!C54</f>
        <v>1800</v>
      </c>
      <c r="D54" s="113">
        <f>'02- KOMUNALNI'!D54+'04-H.G.I.'!D54</f>
        <v>934.15</v>
      </c>
      <c r="E54" s="208">
        <f t="shared" si="3"/>
        <v>0.51897222222222217</v>
      </c>
      <c r="F54" s="82"/>
    </row>
    <row r="55" spans="1:6" ht="30" customHeight="1" x14ac:dyDescent="0.25">
      <c r="A55" s="9"/>
      <c r="B55" s="19" t="s">
        <v>60</v>
      </c>
      <c r="C55" s="113">
        <f>'02- KOMUNALNI'!C55+'04-H.G.I.'!C55</f>
        <v>105500</v>
      </c>
      <c r="D55" s="113">
        <f>'02- KOMUNALNI'!D55+'04-H.G.I.'!D55</f>
        <v>104457.17</v>
      </c>
      <c r="E55" s="208">
        <f t="shared" si="3"/>
        <v>0.99011535545023699</v>
      </c>
      <c r="F55" s="82">
        <v>120</v>
      </c>
    </row>
    <row r="56" spans="1:6" ht="30" customHeight="1" x14ac:dyDescent="0.25">
      <c r="A56" s="9"/>
      <c r="B56" s="19" t="s">
        <v>61</v>
      </c>
      <c r="C56" s="113">
        <f>'02- KOMUNALNI'!C56+'04-H.G.I.'!C56</f>
        <v>0</v>
      </c>
      <c r="D56" s="113">
        <f>'02- KOMUNALNI'!D56+'04-H.G.I.'!D56</f>
        <v>0</v>
      </c>
      <c r="E56" s="208"/>
      <c r="F56" s="82"/>
    </row>
    <row r="57" spans="1:6" ht="30" customHeight="1" x14ac:dyDescent="0.25">
      <c r="A57" s="9"/>
      <c r="B57" s="8" t="s">
        <v>62</v>
      </c>
      <c r="C57" s="113">
        <f>'02- KOMUNALNI'!C57+'04-H.G.I.'!C57</f>
        <v>1000</v>
      </c>
      <c r="D57" s="113">
        <f>'02- KOMUNALNI'!D57+'04-H.G.I.'!D57</f>
        <v>1000</v>
      </c>
      <c r="E57" s="208">
        <f t="shared" si="3"/>
        <v>1</v>
      </c>
      <c r="F57" s="82"/>
    </row>
    <row r="58" spans="1:6" ht="30" customHeight="1" x14ac:dyDescent="0.25">
      <c r="A58" s="9"/>
      <c r="B58" s="8" t="s">
        <v>135</v>
      </c>
      <c r="C58" s="113">
        <f>'02- KOMUNALNI'!C58+'04-H.G.I.'!C58</f>
        <v>0</v>
      </c>
      <c r="D58" s="113">
        <f>'02- KOMUNALNI'!D58+'04-H.G.I.'!D58</f>
        <v>0</v>
      </c>
      <c r="E58" s="208"/>
      <c r="F58" s="82"/>
    </row>
    <row r="59" spans="1:6" ht="30" customHeight="1" x14ac:dyDescent="0.25">
      <c r="A59" s="9"/>
      <c r="B59" s="8"/>
      <c r="C59" s="113">
        <f>'02- KOMUNALNI'!C59+'04-H.G.I.'!C59</f>
        <v>0</v>
      </c>
      <c r="D59" s="113">
        <f>'02- KOMUNALNI'!D59+'04-H.G.I.'!D59</f>
        <v>0</v>
      </c>
      <c r="E59" s="208"/>
      <c r="F59" s="82"/>
    </row>
    <row r="60" spans="1:6" ht="30" customHeight="1" x14ac:dyDescent="0.25">
      <c r="A60" s="9"/>
      <c r="B60" s="8" t="s">
        <v>63</v>
      </c>
      <c r="C60" s="113">
        <f>'02- KOMUNALNI'!C60+'04-H.G.I.'!C60</f>
        <v>600</v>
      </c>
      <c r="D60" s="113">
        <f>'02- KOMUNALNI'!D60+'04-H.G.I.'!D60</f>
        <v>500</v>
      </c>
      <c r="E60" s="208">
        <f t="shared" si="3"/>
        <v>0.83333333333333337</v>
      </c>
      <c r="F60" s="82">
        <v>1300</v>
      </c>
    </row>
    <row r="61" spans="1:6" ht="30" customHeight="1" x14ac:dyDescent="0.25">
      <c r="A61" s="9"/>
      <c r="B61" s="8" t="s">
        <v>64</v>
      </c>
      <c r="C61" s="113">
        <f>'02- KOMUNALNI'!C61+'04-H.G.I.'!C61</f>
        <v>0</v>
      </c>
      <c r="D61" s="113">
        <f>'02- KOMUNALNI'!D61+'04-H.G.I.'!D61</f>
        <v>0</v>
      </c>
      <c r="E61" s="208"/>
      <c r="F61" s="82"/>
    </row>
    <row r="62" spans="1:6" ht="30" customHeight="1" x14ac:dyDescent="0.25">
      <c r="A62" s="9"/>
      <c r="B62" s="8" t="s">
        <v>65</v>
      </c>
      <c r="C62" s="113">
        <f>'02- KOMUNALNI'!C62+'04-H.G.I.'!C62</f>
        <v>0</v>
      </c>
      <c r="D62" s="113">
        <f>'02- KOMUNALNI'!D62+'04-H.G.I.'!D62</f>
        <v>0</v>
      </c>
      <c r="E62" s="208"/>
      <c r="F62" s="82"/>
    </row>
    <row r="63" spans="1:6" ht="30" customHeight="1" x14ac:dyDescent="0.25">
      <c r="A63" s="9"/>
      <c r="B63" s="8" t="s">
        <v>136</v>
      </c>
      <c r="C63" s="113">
        <f>'02- KOMUNALNI'!C63+'04-H.G.I.'!C63</f>
        <v>0</v>
      </c>
      <c r="D63" s="113">
        <f>'02- KOMUNALNI'!D63+'04-H.G.I.'!D63</f>
        <v>0</v>
      </c>
      <c r="E63" s="208"/>
      <c r="F63" s="82"/>
    </row>
    <row r="64" spans="1:6" ht="30" customHeight="1" x14ac:dyDescent="0.25">
      <c r="A64" s="9"/>
      <c r="B64" s="8"/>
      <c r="C64" s="113">
        <f>'02- KOMUNALNI'!C64+'04-H.G.I.'!C64</f>
        <v>0</v>
      </c>
      <c r="D64" s="113">
        <f>'02- KOMUNALNI'!D64+'04-H.G.I.'!D64</f>
        <v>0</v>
      </c>
      <c r="E64" s="208"/>
      <c r="F64" s="82"/>
    </row>
    <row r="65" spans="1:6" ht="30" customHeight="1" x14ac:dyDescent="0.25">
      <c r="A65" s="9"/>
      <c r="B65" s="8" t="s">
        <v>66</v>
      </c>
      <c r="C65" s="113">
        <f>'02- KOMUNALNI'!C65+'04-H.G.I.'!C65</f>
        <v>7000</v>
      </c>
      <c r="D65" s="113">
        <f>'02- KOMUNALNI'!D65+'04-H.G.I.'!D65</f>
        <v>5926.8</v>
      </c>
      <c r="E65" s="208">
        <f t="shared" si="3"/>
        <v>0.84668571428571426</v>
      </c>
      <c r="F65" s="82"/>
    </row>
    <row r="66" spans="1:6" ht="30" customHeight="1" x14ac:dyDescent="0.25">
      <c r="A66" s="9"/>
      <c r="B66" s="8" t="s">
        <v>67</v>
      </c>
      <c r="C66" s="113">
        <f>'02- KOMUNALNI'!C66+'04-H.G.I.'!C66</f>
        <v>120</v>
      </c>
      <c r="D66" s="113">
        <f>'02- KOMUNALNI'!D66+'04-H.G.I.'!D66</f>
        <v>106.72</v>
      </c>
      <c r="E66" s="208">
        <f t="shared" si="3"/>
        <v>0.88933333333333331</v>
      </c>
      <c r="F66" s="82"/>
    </row>
    <row r="67" spans="1:6" ht="30" customHeight="1" x14ac:dyDescent="0.25">
      <c r="A67" s="9"/>
      <c r="B67" s="8" t="s">
        <v>68</v>
      </c>
      <c r="C67" s="113">
        <f>'02- KOMUNALNI'!C67+'04-H.G.I.'!C67</f>
        <v>0</v>
      </c>
      <c r="D67" s="113">
        <f>'02- KOMUNALNI'!D67+'04-H.G.I.'!D67</f>
        <v>0</v>
      </c>
      <c r="E67" s="208"/>
      <c r="F67" s="82"/>
    </row>
    <row r="68" spans="1:6" ht="30" customHeight="1" x14ac:dyDescent="0.25">
      <c r="A68" s="9"/>
      <c r="B68" s="8" t="s">
        <v>137</v>
      </c>
      <c r="C68" s="113">
        <f>'02- KOMUNALNI'!C68+'04-H.G.I.'!C68</f>
        <v>0</v>
      </c>
      <c r="D68" s="113">
        <f>'02- KOMUNALNI'!D68+'04-H.G.I.'!D68</f>
        <v>0</v>
      </c>
      <c r="E68" s="208"/>
      <c r="F68" s="82"/>
    </row>
    <row r="69" spans="1:6" ht="30" customHeight="1" x14ac:dyDescent="0.25">
      <c r="A69" s="9"/>
      <c r="B69" s="8" t="s">
        <v>138</v>
      </c>
      <c r="C69" s="113">
        <f>'02- KOMUNALNI'!C69+'04-H.G.I.'!C69</f>
        <v>0</v>
      </c>
      <c r="D69" s="113">
        <f>'02- KOMUNALNI'!D69+'04-H.G.I.'!D69</f>
        <v>0</v>
      </c>
      <c r="E69" s="208"/>
      <c r="F69" s="82"/>
    </row>
    <row r="70" spans="1:6" ht="30" customHeight="1" x14ac:dyDescent="0.25">
      <c r="A70" s="9"/>
      <c r="B70" s="8" t="s">
        <v>69</v>
      </c>
      <c r="C70" s="113">
        <f>'02- KOMUNALNI'!C70+'04-H.G.I.'!C70</f>
        <v>0</v>
      </c>
      <c r="D70" s="113">
        <f>'02- KOMUNALNI'!D70+'04-H.G.I.'!D70</f>
        <v>0</v>
      </c>
      <c r="E70" s="208"/>
      <c r="F70" s="82"/>
    </row>
    <row r="71" spans="1:6" ht="30" customHeight="1" x14ac:dyDescent="0.25">
      <c r="A71" s="9"/>
      <c r="B71" s="8" t="s">
        <v>70</v>
      </c>
      <c r="C71" s="113">
        <f>'02- KOMUNALNI'!C71+'04-H.G.I.'!C71</f>
        <v>0</v>
      </c>
      <c r="D71" s="113">
        <f>'02- KOMUNALNI'!D71+'04-H.G.I.'!D71</f>
        <v>0</v>
      </c>
      <c r="E71" s="208"/>
      <c r="F71" s="82"/>
    </row>
    <row r="72" spans="1:6" ht="30" customHeight="1" x14ac:dyDescent="0.25">
      <c r="A72" s="9"/>
      <c r="B72" s="8" t="s">
        <v>71</v>
      </c>
      <c r="C72" s="113">
        <f>'02- KOMUNALNI'!C72+'04-H.G.I.'!C72</f>
        <v>0</v>
      </c>
      <c r="D72" s="113">
        <f>'02- KOMUNALNI'!D72+'04-H.G.I.'!D72</f>
        <v>0</v>
      </c>
      <c r="E72" s="208"/>
      <c r="F72" s="82"/>
    </row>
    <row r="73" spans="1:6" ht="30" customHeight="1" x14ac:dyDescent="0.25">
      <c r="A73" s="9"/>
      <c r="B73" s="8" t="s">
        <v>72</v>
      </c>
      <c r="C73" s="113">
        <f>'02- KOMUNALNI'!C73+'04-H.G.I.'!C73</f>
        <v>0</v>
      </c>
      <c r="D73" s="113">
        <f>'02- KOMUNALNI'!D73+'04-H.G.I.'!D73</f>
        <v>0</v>
      </c>
      <c r="E73" s="208"/>
      <c r="F73" s="82"/>
    </row>
    <row r="74" spans="1:6" ht="30" customHeight="1" x14ac:dyDescent="0.25">
      <c r="A74" s="9"/>
      <c r="B74" s="8" t="s">
        <v>73</v>
      </c>
      <c r="C74" s="113">
        <f>'02- KOMUNALNI'!C74+'04-H.G.I.'!C74</f>
        <v>500</v>
      </c>
      <c r="D74" s="113">
        <f>'02- KOMUNALNI'!D74+'04-H.G.I.'!D74</f>
        <v>500</v>
      </c>
      <c r="E74" s="208">
        <f t="shared" si="3"/>
        <v>1</v>
      </c>
      <c r="F74" s="82"/>
    </row>
    <row r="75" spans="1:6" ht="30" customHeight="1" x14ac:dyDescent="0.25">
      <c r="A75" s="9"/>
      <c r="B75" s="8" t="s">
        <v>74</v>
      </c>
      <c r="C75" s="113">
        <f>'02- KOMUNALNI'!C75+'04-H.G.I.'!C75</f>
        <v>6500</v>
      </c>
      <c r="D75" s="113">
        <f>'02- KOMUNALNI'!D75+'04-H.G.I.'!D75</f>
        <v>7236</v>
      </c>
      <c r="E75" s="208">
        <f t="shared" si="3"/>
        <v>1.1132307692307692</v>
      </c>
      <c r="F75" s="82">
        <v>7240</v>
      </c>
    </row>
    <row r="76" spans="1:6" ht="30" customHeight="1" x14ac:dyDescent="0.25">
      <c r="A76" s="9"/>
      <c r="B76" s="8" t="s">
        <v>75</v>
      </c>
      <c r="C76" s="113">
        <f>'02- KOMUNALNI'!C76+'04-H.G.I.'!C76</f>
        <v>0</v>
      </c>
      <c r="D76" s="113">
        <f>'02- KOMUNALNI'!D76+'04-H.G.I.'!D76</f>
        <v>0</v>
      </c>
      <c r="E76" s="208"/>
      <c r="F76" s="82"/>
    </row>
    <row r="77" spans="1:6" ht="30" customHeight="1" x14ac:dyDescent="0.25">
      <c r="A77" s="9"/>
      <c r="B77" s="8" t="s">
        <v>76</v>
      </c>
      <c r="C77" s="113">
        <f>'02- KOMUNALNI'!C77+'04-H.G.I.'!C77</f>
        <v>0</v>
      </c>
      <c r="D77" s="113">
        <f>'02- KOMUNALNI'!D77+'04-H.G.I.'!D77</f>
        <v>0</v>
      </c>
      <c r="E77" s="208"/>
      <c r="F77" s="82"/>
    </row>
    <row r="78" spans="1:6" ht="30" customHeight="1" x14ac:dyDescent="0.25">
      <c r="A78" s="9"/>
      <c r="B78" s="8" t="s">
        <v>77</v>
      </c>
      <c r="C78" s="113">
        <f>'02- KOMUNALNI'!C78+'04-H.G.I.'!C78</f>
        <v>120</v>
      </c>
      <c r="D78" s="113">
        <f>'02- KOMUNALNI'!D78+'04-H.G.I.'!D78</f>
        <v>60</v>
      </c>
      <c r="E78" s="208">
        <f t="shared" si="3"/>
        <v>0.5</v>
      </c>
      <c r="F78" s="82">
        <v>0</v>
      </c>
    </row>
    <row r="79" spans="1:6" ht="36.75" customHeight="1" x14ac:dyDescent="0.25">
      <c r="A79" s="9"/>
      <c r="B79" s="8" t="s">
        <v>78</v>
      </c>
      <c r="C79" s="113">
        <f>'02- KOMUNALNI'!C79+'04-H.G.I.'!C79</f>
        <v>0</v>
      </c>
      <c r="D79" s="113">
        <f>'02- KOMUNALNI'!D79+'04-H.G.I.'!D79</f>
        <v>0</v>
      </c>
      <c r="E79" s="208"/>
      <c r="F79" s="82"/>
    </row>
    <row r="80" spans="1:6" ht="30" customHeight="1" x14ac:dyDescent="0.25">
      <c r="A80" s="9"/>
      <c r="B80" s="8" t="s">
        <v>79</v>
      </c>
      <c r="C80" s="113">
        <f>'02- KOMUNALNI'!C80+'04-H.G.I.'!C80</f>
        <v>0</v>
      </c>
      <c r="D80" s="113">
        <f>'02- KOMUNALNI'!D80+'04-H.G.I.'!D80</f>
        <v>0</v>
      </c>
      <c r="E80" s="208"/>
      <c r="F80" s="82"/>
    </row>
    <row r="81" spans="1:6" ht="30" customHeight="1" x14ac:dyDescent="0.25">
      <c r="A81" s="9"/>
      <c r="B81" s="8" t="s">
        <v>181</v>
      </c>
      <c r="C81" s="113">
        <f>'02- KOMUNALNI'!C81+'04-H.G.I.'!C81</f>
        <v>250000</v>
      </c>
      <c r="D81" s="113">
        <f>'02- KOMUNALNI'!D81+'04-H.G.I.'!D81</f>
        <v>248773.58</v>
      </c>
      <c r="E81" s="208">
        <f t="shared" si="3"/>
        <v>0.99509431999999998</v>
      </c>
      <c r="F81" s="82"/>
    </row>
    <row r="82" spans="1:6" ht="30" customHeight="1" x14ac:dyDescent="0.25">
      <c r="A82" s="9"/>
      <c r="B82" s="8" t="s">
        <v>182</v>
      </c>
      <c r="C82" s="113">
        <f>'02- KOMUNALNI'!C82+'04-H.G.I.'!C82</f>
        <v>55000</v>
      </c>
      <c r="D82" s="113">
        <f>'02- KOMUNALNI'!D82+'04-H.G.I.'!D82</f>
        <v>53891.56</v>
      </c>
      <c r="E82" s="208">
        <f t="shared" si="3"/>
        <v>0.97984654545454541</v>
      </c>
      <c r="F82" s="82"/>
    </row>
    <row r="83" spans="1:6" ht="30" customHeight="1" x14ac:dyDescent="0.25">
      <c r="A83" s="9"/>
      <c r="B83" s="8" t="s">
        <v>82</v>
      </c>
      <c r="C83" s="113">
        <f>'02- KOMUNALNI'!C83+'04-H.G.I.'!C83</f>
        <v>477741</v>
      </c>
      <c r="D83" s="113">
        <f>'02- KOMUNALNI'!D83+'04-H.G.I.'!D83</f>
        <v>526392.93000000005</v>
      </c>
      <c r="E83" s="208">
        <f t="shared" si="3"/>
        <v>1.1018374600463432</v>
      </c>
      <c r="F83" s="82"/>
    </row>
    <row r="84" spans="1:6" ht="30" customHeight="1" x14ac:dyDescent="0.25">
      <c r="A84" s="9"/>
      <c r="B84" s="8" t="s">
        <v>83</v>
      </c>
      <c r="C84" s="113">
        <f>'02- KOMUNALNI'!C84+'04-H.G.I.'!C84</f>
        <v>886997</v>
      </c>
      <c r="D84" s="113">
        <f>'02- KOMUNALNI'!D84+'04-H.G.I.'!D84</f>
        <v>691256</v>
      </c>
      <c r="E84" s="208">
        <f t="shared" si="3"/>
        <v>0.77932168879939845</v>
      </c>
      <c r="F84" s="82"/>
    </row>
    <row r="85" spans="1:6" ht="30" customHeight="1" x14ac:dyDescent="0.25">
      <c r="A85" s="9"/>
      <c r="B85" s="8" t="s">
        <v>84</v>
      </c>
      <c r="C85" s="113">
        <f>'02- KOMUNALNI'!C85+'04-H.G.I.'!C85</f>
        <v>18000</v>
      </c>
      <c r="D85" s="113">
        <f>'02- KOMUNALNI'!D85+'04-H.G.I.'!D85</f>
        <v>14433.99</v>
      </c>
      <c r="E85" s="208">
        <f t="shared" si="3"/>
        <v>0.80188833333333331</v>
      </c>
      <c r="F85" s="82">
        <v>50000</v>
      </c>
    </row>
    <row r="86" spans="1:6" ht="30" customHeight="1" x14ac:dyDescent="0.25">
      <c r="A86" s="9"/>
      <c r="B86" s="8" t="s">
        <v>183</v>
      </c>
      <c r="C86" s="113">
        <f>'02- KOMUNALNI'!C86+'04-H.G.I.'!C86</f>
        <v>172000</v>
      </c>
      <c r="D86" s="113">
        <f>'02- KOMUNALNI'!D86+'04-H.G.I.'!D86</f>
        <v>244594</v>
      </c>
      <c r="E86" s="208">
        <f t="shared" si="3"/>
        <v>1.4220581395348837</v>
      </c>
      <c r="F86" s="82"/>
    </row>
    <row r="87" spans="1:6" ht="30" customHeight="1" x14ac:dyDescent="0.25">
      <c r="A87" s="9"/>
      <c r="B87" s="8" t="s">
        <v>186</v>
      </c>
      <c r="C87" s="113">
        <f>'02- KOMUNALNI'!C87+'04-H.G.I.'!C87</f>
        <v>28000</v>
      </c>
      <c r="D87" s="113">
        <f>'02- KOMUNALNI'!D87+'04-H.G.I.'!D87</f>
        <v>47679.59</v>
      </c>
      <c r="E87" s="208">
        <f t="shared" si="3"/>
        <v>1.7028424999999998</v>
      </c>
      <c r="F87" s="82"/>
    </row>
    <row r="88" spans="1:6" ht="30" customHeight="1" x14ac:dyDescent="0.25">
      <c r="A88" s="9"/>
      <c r="B88" s="8" t="s">
        <v>184</v>
      </c>
      <c r="C88" s="113">
        <f>'02- KOMUNALNI'!C88+'04-H.G.I.'!C88</f>
        <v>0</v>
      </c>
      <c r="D88" s="113">
        <f>'02- KOMUNALNI'!D88+'04-H.G.I.'!D88</f>
        <v>0</v>
      </c>
      <c r="E88" s="208"/>
      <c r="F88" s="82"/>
    </row>
    <row r="89" spans="1:6" ht="30" customHeight="1" x14ac:dyDescent="0.25">
      <c r="A89" s="9"/>
      <c r="B89" s="8" t="s">
        <v>185</v>
      </c>
      <c r="C89" s="113">
        <f>'02- KOMUNALNI'!C89+'04-H.G.I.'!C89</f>
        <v>12000</v>
      </c>
      <c r="D89" s="113">
        <f>'02- KOMUNALNI'!D89+'04-H.G.I.'!D89</f>
        <v>9372.7999999999993</v>
      </c>
      <c r="E89" s="208">
        <f t="shared" si="3"/>
        <v>0.78106666666666658</v>
      </c>
      <c r="F89" s="82">
        <v>3800</v>
      </c>
    </row>
    <row r="90" spans="1:6" ht="30" customHeight="1" x14ac:dyDescent="0.25">
      <c r="A90" s="9"/>
      <c r="B90" s="8" t="s">
        <v>168</v>
      </c>
      <c r="C90" s="113">
        <f>'02- KOMUNALNI'!C90+'04-H.G.I.'!C90</f>
        <v>30000</v>
      </c>
      <c r="D90" s="113">
        <f>'02- KOMUNALNI'!D90+'04-H.G.I.'!D90</f>
        <v>35333.15</v>
      </c>
      <c r="E90" s="208">
        <f t="shared" si="3"/>
        <v>1.1777716666666667</v>
      </c>
      <c r="F90" s="82"/>
    </row>
    <row r="91" spans="1:6" ht="30" customHeight="1" x14ac:dyDescent="0.25">
      <c r="A91" s="9"/>
      <c r="B91" s="8" t="s">
        <v>89</v>
      </c>
      <c r="C91" s="113">
        <f>'02- KOMUNALNI'!C91+'04-H.G.I.'!C91</f>
        <v>100</v>
      </c>
      <c r="D91" s="113">
        <f>'02- KOMUNALNI'!D91+'04-H.G.I.'!D91</f>
        <v>60</v>
      </c>
      <c r="E91" s="208">
        <f t="shared" si="3"/>
        <v>0.6</v>
      </c>
      <c r="F91" s="82"/>
    </row>
    <row r="92" spans="1:6" ht="30" customHeight="1" x14ac:dyDescent="0.25">
      <c r="A92" s="9"/>
      <c r="B92" s="8" t="s">
        <v>187</v>
      </c>
      <c r="C92" s="113">
        <f>'02- KOMUNALNI'!C92+'04-H.G.I.'!C92</f>
        <v>0</v>
      </c>
      <c r="D92" s="113">
        <f>'02- KOMUNALNI'!D92+'04-H.G.I.'!D92</f>
        <v>0</v>
      </c>
      <c r="E92" s="208"/>
      <c r="F92" s="82"/>
    </row>
    <row r="93" spans="1:6" ht="30" customHeight="1" x14ac:dyDescent="0.25">
      <c r="A93" s="9"/>
      <c r="B93" s="8" t="s">
        <v>166</v>
      </c>
      <c r="C93" s="113">
        <f>'02- KOMUNALNI'!C93+'04-H.G.I.'!C93</f>
        <v>582000</v>
      </c>
      <c r="D93" s="113">
        <f>'02- KOMUNALNI'!D93+'04-H.G.I.'!D93</f>
        <v>580138.64</v>
      </c>
      <c r="E93" s="208">
        <f t="shared" si="3"/>
        <v>0.99680178694158073</v>
      </c>
      <c r="F93" s="82"/>
    </row>
    <row r="94" spans="1:6" ht="30" customHeight="1" x14ac:dyDescent="0.25">
      <c r="A94" s="9"/>
      <c r="B94" s="8" t="s">
        <v>167</v>
      </c>
      <c r="C94" s="113">
        <f>'02- KOMUNALNI'!C94+'04-H.G.I.'!C94</f>
        <v>55000</v>
      </c>
      <c r="D94" s="113">
        <f>'02- KOMUNALNI'!D94+'04-H.G.I.'!D94</f>
        <v>41666.800000000003</v>
      </c>
      <c r="E94" s="208">
        <f t="shared" si="3"/>
        <v>0.75757818181818182</v>
      </c>
      <c r="F94" s="82"/>
    </row>
    <row r="95" spans="1:6" ht="30" customHeight="1" x14ac:dyDescent="0.25">
      <c r="A95" s="9"/>
      <c r="B95" s="8" t="s">
        <v>91</v>
      </c>
      <c r="C95" s="113">
        <f>'02- KOMUNALNI'!C95+'04-H.G.I.'!C95</f>
        <v>0</v>
      </c>
      <c r="D95" s="113">
        <f>'02- KOMUNALNI'!D95+'04-H.G.I.'!D95</f>
        <v>0</v>
      </c>
      <c r="E95" s="208"/>
      <c r="F95" s="82"/>
    </row>
    <row r="96" spans="1:6" ht="30" customHeight="1" x14ac:dyDescent="0.25">
      <c r="A96" s="9"/>
      <c r="B96" s="8" t="s">
        <v>92</v>
      </c>
      <c r="C96" s="113">
        <f>'02- KOMUNALNI'!C96+'04-H.G.I.'!C96</f>
        <v>0</v>
      </c>
      <c r="D96" s="113">
        <f>'02- KOMUNALNI'!D96+'04-H.G.I.'!D96</f>
        <v>0</v>
      </c>
      <c r="E96" s="208"/>
      <c r="F96" s="82"/>
    </row>
    <row r="97" spans="1:6" ht="30" customHeight="1" x14ac:dyDescent="0.25">
      <c r="A97" s="9"/>
      <c r="B97" s="8" t="s">
        <v>93</v>
      </c>
      <c r="C97" s="113">
        <f>'02- KOMUNALNI'!C97+'04-H.G.I.'!C97</f>
        <v>0</v>
      </c>
      <c r="D97" s="113">
        <f>'02- KOMUNALNI'!D97+'04-H.G.I.'!D97</f>
        <v>0</v>
      </c>
      <c r="E97" s="208"/>
      <c r="F97" s="82"/>
    </row>
    <row r="98" spans="1:6" ht="30" customHeight="1" x14ac:dyDescent="0.25">
      <c r="A98" s="9"/>
      <c r="B98" s="8" t="s">
        <v>132</v>
      </c>
      <c r="C98" s="113">
        <f>'02- KOMUNALNI'!C98+'04-H.G.I.'!C98</f>
        <v>0</v>
      </c>
      <c r="D98" s="113">
        <f>'02- KOMUNALNI'!D98+'04-H.G.I.'!D98</f>
        <v>0</v>
      </c>
      <c r="E98" s="208"/>
      <c r="F98" s="82"/>
    </row>
    <row r="99" spans="1:6" s="75" customFormat="1" ht="30" customHeight="1" x14ac:dyDescent="0.25">
      <c r="A99" s="49" t="s">
        <v>9</v>
      </c>
      <c r="B99" s="50" t="s">
        <v>94</v>
      </c>
      <c r="C99" s="116">
        <f>C100</f>
        <v>1457959</v>
      </c>
      <c r="D99" s="116">
        <f>D100</f>
        <v>1288810.56</v>
      </c>
      <c r="E99" s="204">
        <f t="shared" ref="E96:E134" si="5">D99/C99</f>
        <v>0.88398271830689346</v>
      </c>
      <c r="F99" s="93">
        <f t="shared" ref="E99:F99" si="6">F100</f>
        <v>0</v>
      </c>
    </row>
    <row r="100" spans="1:6" ht="30" customHeight="1" x14ac:dyDescent="0.25">
      <c r="A100" s="9" t="s">
        <v>1</v>
      </c>
      <c r="B100" s="8" t="s">
        <v>95</v>
      </c>
      <c r="C100" s="113">
        <f>'02- KOMUNALNI'!C100+'04-H.G.I.'!C100</f>
        <v>1457959</v>
      </c>
      <c r="D100" s="113">
        <f>'02- KOMUNALNI'!D100+'04-H.G.I.'!D100</f>
        <v>1288810.56</v>
      </c>
      <c r="E100" s="208">
        <f t="shared" si="5"/>
        <v>0.88398271830689346</v>
      </c>
      <c r="F100" s="82"/>
    </row>
    <row r="101" spans="1:6" s="75" customFormat="1" ht="30" customHeight="1" x14ac:dyDescent="0.25">
      <c r="A101" s="49" t="s">
        <v>11</v>
      </c>
      <c r="B101" s="50" t="s">
        <v>96</v>
      </c>
      <c r="C101" s="116">
        <f>C102+C103+C104</f>
        <v>376382</v>
      </c>
      <c r="D101" s="116">
        <f>D102+D103+D104</f>
        <v>376356.64999999997</v>
      </c>
      <c r="E101" s="204">
        <f t="shared" si="5"/>
        <v>0.99993264821378269</v>
      </c>
      <c r="F101" s="93">
        <f t="shared" ref="E101:F101" si="7">F102+F103+F104</f>
        <v>15570</v>
      </c>
    </row>
    <row r="102" spans="1:6" s="79" customFormat="1" ht="30" customHeight="1" x14ac:dyDescent="0.25">
      <c r="A102" s="9"/>
      <c r="B102" s="8" t="s">
        <v>97</v>
      </c>
      <c r="C102" s="113">
        <f>'02- KOMUNALNI'!C102+'04-H.G.I.'!C102</f>
        <v>16286</v>
      </c>
      <c r="D102" s="113">
        <f>'02- KOMUNALNI'!D102+'04-H.G.I.'!D102</f>
        <v>16280.04</v>
      </c>
      <c r="E102" s="208">
        <f t="shared" si="5"/>
        <v>0.9996340415080438</v>
      </c>
      <c r="F102" s="82">
        <v>9080</v>
      </c>
    </row>
    <row r="103" spans="1:6" ht="30" customHeight="1" x14ac:dyDescent="0.25">
      <c r="A103" s="9"/>
      <c r="B103" s="8" t="s">
        <v>98</v>
      </c>
      <c r="C103" s="113">
        <f>'02- KOMUNALNI'!C103+'04-H.G.I.'!C103</f>
        <v>295546</v>
      </c>
      <c r="D103" s="113">
        <f>'02- KOMUNALNI'!D103+'04-H.G.I.'!D103</f>
        <v>293957.03999999998</v>
      </c>
      <c r="E103" s="208">
        <f t="shared" si="5"/>
        <v>0.99462364572689188</v>
      </c>
      <c r="F103" s="82"/>
    </row>
    <row r="104" spans="1:6" ht="30" customHeight="1" x14ac:dyDescent="0.25">
      <c r="A104" s="9"/>
      <c r="B104" s="8" t="s">
        <v>99</v>
      </c>
      <c r="C104" s="113">
        <f>'02- KOMUNALNI'!C104+'04-H.G.I.'!C104</f>
        <v>64550</v>
      </c>
      <c r="D104" s="113">
        <f>'02- KOMUNALNI'!D104+'04-H.G.I.'!D104</f>
        <v>66119.570000000022</v>
      </c>
      <c r="E104" s="208">
        <f t="shared" si="5"/>
        <v>1.0243155693261041</v>
      </c>
      <c r="F104" s="82">
        <v>6490</v>
      </c>
    </row>
    <row r="105" spans="1:6" s="75" customFormat="1" ht="30" customHeight="1" x14ac:dyDescent="0.25">
      <c r="A105" s="49" t="s">
        <v>15</v>
      </c>
      <c r="B105" s="50" t="s">
        <v>100</v>
      </c>
      <c r="C105" s="116">
        <f>C106</f>
        <v>0</v>
      </c>
      <c r="D105" s="116">
        <f>D106</f>
        <v>0</v>
      </c>
      <c r="E105" s="204" t="e">
        <f t="shared" si="5"/>
        <v>#DIV/0!</v>
      </c>
      <c r="F105" s="93">
        <f t="shared" ref="E105:F105" si="8">F106</f>
        <v>0</v>
      </c>
    </row>
    <row r="106" spans="1:6" ht="30" customHeight="1" x14ac:dyDescent="0.25">
      <c r="A106" s="39"/>
      <c r="B106" s="16" t="s">
        <v>101</v>
      </c>
      <c r="C106" s="113">
        <f>'02- KOMUNALNI'!C106+'04-H.G.I.'!C106</f>
        <v>0</v>
      </c>
      <c r="D106" s="113">
        <f>'02- KOMUNALNI'!D106+'04-H.G.I.'!D106</f>
        <v>0</v>
      </c>
      <c r="E106" s="208"/>
      <c r="F106" s="36">
        <f>'02- KOMUNALNI'!F106+'04-H.G.I.'!F106</f>
        <v>0</v>
      </c>
    </row>
    <row r="107" spans="1:6" s="52" customFormat="1" ht="30" customHeight="1" x14ac:dyDescent="0.25">
      <c r="A107" s="49" t="s">
        <v>19</v>
      </c>
      <c r="B107" s="50" t="s">
        <v>148</v>
      </c>
      <c r="C107" s="116">
        <f>C108</f>
        <v>0</v>
      </c>
      <c r="D107" s="116">
        <f>D108</f>
        <v>0</v>
      </c>
      <c r="E107" s="204" t="e">
        <f t="shared" si="5"/>
        <v>#DIV/0!</v>
      </c>
      <c r="F107" s="93">
        <f>F108</f>
        <v>0</v>
      </c>
    </row>
    <row r="108" spans="1:6" s="6" customFormat="1" ht="30" customHeight="1" x14ac:dyDescent="0.25">
      <c r="A108" s="39"/>
      <c r="B108" s="16" t="s">
        <v>148</v>
      </c>
      <c r="C108" s="113">
        <f>'02- KOMUNALNI'!C108+'04-H.G.I.'!C108</f>
        <v>0</v>
      </c>
      <c r="D108" s="113">
        <f>'02- KOMUNALNI'!D108+'04-H.G.I.'!D108</f>
        <v>0</v>
      </c>
      <c r="E108" s="208"/>
      <c r="F108" s="82"/>
    </row>
    <row r="109" spans="1:6" s="75" customFormat="1" ht="30" customHeight="1" x14ac:dyDescent="0.25">
      <c r="A109" s="49" t="s">
        <v>21</v>
      </c>
      <c r="B109" s="50" t="s">
        <v>102</v>
      </c>
      <c r="C109" s="116">
        <f>C110+C111+C112+C113+C114+C115+C116+C117+C118+C119+C120+C121+C122+C123+C124+C125</f>
        <v>298697</v>
      </c>
      <c r="D109" s="116">
        <f>D110+D111+D112+D113+D114+D115+D116+D117+D118+D119+D120+D121+D122+D123+D124+D125</f>
        <v>309039.83</v>
      </c>
      <c r="E109" s="204">
        <f t="shared" si="5"/>
        <v>1.0346264944073762</v>
      </c>
      <c r="F109" s="93">
        <f t="shared" ref="E109:F109" si="9">F110+F111+F112+F113+F114+F115+F116+F117+F118+F119+F120+F121+F122+F123+F124+F125</f>
        <v>85</v>
      </c>
    </row>
    <row r="110" spans="1:6" ht="30" customHeight="1" x14ac:dyDescent="0.25">
      <c r="A110" s="9"/>
      <c r="B110" s="8" t="s">
        <v>103</v>
      </c>
      <c r="C110" s="113">
        <f>'02- KOMUNALNI'!C110+'04-H.G.I.'!C110</f>
        <v>7500</v>
      </c>
      <c r="D110" s="113">
        <f>'02- KOMUNALNI'!D110+'04-H.G.I.'!D110</f>
        <v>6773.55</v>
      </c>
      <c r="E110" s="208">
        <f t="shared" si="5"/>
        <v>0.90314000000000005</v>
      </c>
      <c r="F110" s="82"/>
    </row>
    <row r="111" spans="1:6" ht="30" customHeight="1" x14ac:dyDescent="0.25">
      <c r="A111" s="9"/>
      <c r="B111" s="8" t="s">
        <v>104</v>
      </c>
      <c r="C111" s="113">
        <f>'02- KOMUNALNI'!C111+'04-H.G.I.'!C111</f>
        <v>0</v>
      </c>
      <c r="D111" s="113">
        <f>'02- KOMUNALNI'!D111+'04-H.G.I.'!D111</f>
        <v>1056.8900000000001</v>
      </c>
      <c r="E111" s="208" t="e">
        <f t="shared" si="5"/>
        <v>#DIV/0!</v>
      </c>
      <c r="F111" s="82"/>
    </row>
    <row r="112" spans="1:6" ht="30" customHeight="1" x14ac:dyDescent="0.25">
      <c r="A112" s="9"/>
      <c r="B112" s="8" t="s">
        <v>105</v>
      </c>
      <c r="C112" s="113">
        <f>'02- KOMUNALNI'!C112+'04-H.G.I.'!C112</f>
        <v>43000</v>
      </c>
      <c r="D112" s="113">
        <f>'02- KOMUNALNI'!D112+'04-H.G.I.'!D112</f>
        <v>43392.14</v>
      </c>
      <c r="E112" s="208">
        <f t="shared" si="5"/>
        <v>1.009119534883721</v>
      </c>
      <c r="F112" s="82"/>
    </row>
    <row r="113" spans="1:6" ht="30" customHeight="1" x14ac:dyDescent="0.25">
      <c r="A113" s="9" t="s">
        <v>1</v>
      </c>
      <c r="B113" s="8" t="s">
        <v>177</v>
      </c>
      <c r="C113" s="113">
        <f>'02- KOMUNALNI'!C113+'04-H.G.I.'!C113</f>
        <v>200647</v>
      </c>
      <c r="D113" s="113">
        <f>'02- KOMUNALNI'!D113+'04-H.G.I.'!D113</f>
        <v>208144.35</v>
      </c>
      <c r="E113" s="208">
        <f t="shared" si="5"/>
        <v>1.0373658714060017</v>
      </c>
      <c r="F113" s="82"/>
    </row>
    <row r="114" spans="1:6" ht="30" customHeight="1" x14ac:dyDescent="0.25">
      <c r="A114" s="9"/>
      <c r="B114" s="8" t="s">
        <v>178</v>
      </c>
      <c r="C114" s="113">
        <f>'02- KOMUNALNI'!C114+'04-H.G.I.'!C114</f>
        <v>0</v>
      </c>
      <c r="D114" s="113">
        <f>'02- KOMUNALNI'!D114+'04-H.G.I.'!D114</f>
        <v>0</v>
      </c>
      <c r="E114" s="208"/>
      <c r="F114" s="82"/>
    </row>
    <row r="115" spans="1:6" ht="30" customHeight="1" x14ac:dyDescent="0.25">
      <c r="A115" s="9"/>
      <c r="B115" s="8" t="s">
        <v>108</v>
      </c>
      <c r="C115" s="113">
        <f>'02- KOMUNALNI'!C115+'04-H.G.I.'!C115</f>
        <v>46000</v>
      </c>
      <c r="D115" s="113">
        <f>'02- KOMUNALNI'!D115+'04-H.G.I.'!D115</f>
        <v>47470.9</v>
      </c>
      <c r="E115" s="208">
        <f t="shared" si="5"/>
        <v>1.0319760869565218</v>
      </c>
      <c r="F115" s="82"/>
    </row>
    <row r="116" spans="1:6" ht="30" customHeight="1" x14ac:dyDescent="0.25">
      <c r="A116" s="9"/>
      <c r="B116" s="8" t="s">
        <v>109</v>
      </c>
      <c r="C116" s="113">
        <f>'02- KOMUNALNI'!C116+'04-H.G.I.'!C116</f>
        <v>0</v>
      </c>
      <c r="D116" s="113">
        <f>'02- KOMUNALNI'!D116+'04-H.G.I.'!D116</f>
        <v>0</v>
      </c>
      <c r="E116" s="208"/>
      <c r="F116" s="82">
        <v>70</v>
      </c>
    </row>
    <row r="117" spans="1:6" ht="30" customHeight="1" x14ac:dyDescent="0.25">
      <c r="A117" s="9"/>
      <c r="B117" s="8" t="s">
        <v>110</v>
      </c>
      <c r="C117" s="113">
        <f>'02- KOMUNALNI'!C117+'04-H.G.I.'!C117</f>
        <v>0</v>
      </c>
      <c r="D117" s="113">
        <f>'02- KOMUNALNI'!D117+'04-H.G.I.'!D117</f>
        <v>0</v>
      </c>
      <c r="E117" s="208"/>
      <c r="F117" s="82"/>
    </row>
    <row r="118" spans="1:6" ht="30" customHeight="1" x14ac:dyDescent="0.25">
      <c r="A118" s="9"/>
      <c r="B118" s="8" t="s">
        <v>188</v>
      </c>
      <c r="C118" s="113">
        <f>'02- KOMUNALNI'!C118+'04-H.G.I.'!C118</f>
        <v>0</v>
      </c>
      <c r="D118" s="113">
        <f>'02- KOMUNALNI'!D118+'04-H.G.I.'!D118</f>
        <v>0</v>
      </c>
      <c r="E118" s="208"/>
      <c r="F118" s="82"/>
    </row>
    <row r="119" spans="1:6" ht="30" customHeight="1" x14ac:dyDescent="0.25">
      <c r="A119" s="9"/>
      <c r="B119" s="8" t="s">
        <v>111</v>
      </c>
      <c r="C119" s="113">
        <f>'02- KOMUNALNI'!C119+'04-H.G.I.'!C119</f>
        <v>0</v>
      </c>
      <c r="D119" s="113">
        <f>'02- KOMUNALNI'!D119+'04-H.G.I.'!D119</f>
        <v>0</v>
      </c>
      <c r="E119" s="208"/>
      <c r="F119" s="82"/>
    </row>
    <row r="120" spans="1:6" ht="30" customHeight="1" x14ac:dyDescent="0.25">
      <c r="A120" s="9"/>
      <c r="B120" s="8"/>
      <c r="C120" s="113">
        <f>'02- KOMUNALNI'!C120+'04-H.G.I.'!C120</f>
        <v>0</v>
      </c>
      <c r="D120" s="113">
        <f>'02- KOMUNALNI'!D120+'04-H.G.I.'!D120</f>
        <v>0</v>
      </c>
      <c r="E120" s="208"/>
      <c r="F120" s="82"/>
    </row>
    <row r="121" spans="1:6" ht="30" customHeight="1" x14ac:dyDescent="0.25">
      <c r="A121" s="9"/>
      <c r="B121" s="8" t="s">
        <v>114</v>
      </c>
      <c r="C121" s="113">
        <f>'02- KOMUNALNI'!C121+'04-H.G.I.'!C121</f>
        <v>0</v>
      </c>
      <c r="D121" s="113">
        <f>'02- KOMUNALNI'!D121+'04-H.G.I.'!D121</f>
        <v>0</v>
      </c>
      <c r="E121" s="208"/>
      <c r="F121" s="82"/>
    </row>
    <row r="122" spans="1:6" ht="30" customHeight="1" x14ac:dyDescent="0.25">
      <c r="A122" s="9"/>
      <c r="B122" s="8" t="s">
        <v>115</v>
      </c>
      <c r="C122" s="113">
        <f>'02- KOMUNALNI'!C122+'04-H.G.I.'!C122</f>
        <v>0</v>
      </c>
      <c r="D122" s="113">
        <f>'02- KOMUNALNI'!D122+'04-H.G.I.'!D122</f>
        <v>840</v>
      </c>
      <c r="E122" s="208" t="e">
        <f t="shared" si="5"/>
        <v>#DIV/0!</v>
      </c>
      <c r="F122" s="82"/>
    </row>
    <row r="123" spans="1:6" ht="30" customHeight="1" x14ac:dyDescent="0.25">
      <c r="A123" s="9"/>
      <c r="B123" s="8" t="s">
        <v>116</v>
      </c>
      <c r="C123" s="113">
        <f>'02- KOMUNALNI'!C123+'04-H.G.I.'!C123</f>
        <v>50</v>
      </c>
      <c r="D123" s="113">
        <f>'02- KOMUNALNI'!D123+'04-H.G.I.'!D123</f>
        <v>47</v>
      </c>
      <c r="E123" s="208">
        <f t="shared" si="5"/>
        <v>0.94</v>
      </c>
      <c r="F123" s="82">
        <v>15</v>
      </c>
    </row>
    <row r="124" spans="1:6" ht="30" customHeight="1" x14ac:dyDescent="0.25">
      <c r="A124" s="9"/>
      <c r="B124" s="8" t="s">
        <v>117</v>
      </c>
      <c r="C124" s="113">
        <f>'02- KOMUNALNI'!C124+'04-H.G.I.'!C124</f>
        <v>0</v>
      </c>
      <c r="D124" s="113">
        <f>'02- KOMUNALNI'!D124+'04-H.G.I.'!D124</f>
        <v>0</v>
      </c>
      <c r="E124" s="208"/>
      <c r="F124" s="82"/>
    </row>
    <row r="125" spans="1:6" ht="30" customHeight="1" x14ac:dyDescent="0.25">
      <c r="A125" s="9"/>
      <c r="B125" s="8" t="s">
        <v>118</v>
      </c>
      <c r="C125" s="113">
        <f>'02- KOMUNALNI'!C125+'04-H.G.I.'!C125</f>
        <v>1500</v>
      </c>
      <c r="D125" s="113">
        <f>'02- KOMUNALNI'!D125+'04-H.G.I.'!D125</f>
        <v>1315</v>
      </c>
      <c r="E125" s="208">
        <f t="shared" si="5"/>
        <v>0.87666666666666671</v>
      </c>
      <c r="F125" s="82"/>
    </row>
    <row r="126" spans="1:6" s="75" customFormat="1" ht="30" customHeight="1" x14ac:dyDescent="0.25">
      <c r="A126" s="54" t="s">
        <v>23</v>
      </c>
      <c r="B126" s="55" t="s">
        <v>119</v>
      </c>
      <c r="C126" s="117">
        <f>C127+C128</f>
        <v>16924</v>
      </c>
      <c r="D126" s="117">
        <f>D127+D128</f>
        <v>16377.27</v>
      </c>
      <c r="E126" s="204">
        <f t="shared" si="5"/>
        <v>0.9676949893642165</v>
      </c>
      <c r="F126" s="94">
        <f>F127+F128</f>
        <v>0</v>
      </c>
    </row>
    <row r="127" spans="1:6" ht="30" customHeight="1" x14ac:dyDescent="0.25">
      <c r="A127" s="9"/>
      <c r="B127" s="8" t="s">
        <v>120</v>
      </c>
      <c r="C127" s="113">
        <f>'02- KOMUNALNI'!C127+'04-H.G.I.'!C127</f>
        <v>0</v>
      </c>
      <c r="D127" s="113">
        <f>'02- KOMUNALNI'!D127+'04-H.G.I.'!D127</f>
        <v>0</v>
      </c>
      <c r="E127" s="208"/>
      <c r="F127" s="82"/>
    </row>
    <row r="128" spans="1:6" ht="30" customHeight="1" x14ac:dyDescent="0.25">
      <c r="A128" s="9"/>
      <c r="B128" s="8" t="s">
        <v>179</v>
      </c>
      <c r="C128" s="113">
        <f>'02- KOMUNALNI'!C128+'04-H.G.I.'!C128</f>
        <v>16924</v>
      </c>
      <c r="D128" s="113">
        <f>'02- KOMUNALNI'!D128+'04-H.G.I.'!D128</f>
        <v>16377.27</v>
      </c>
      <c r="E128" s="208">
        <f t="shared" si="5"/>
        <v>0.9676949893642165</v>
      </c>
      <c r="F128" s="82"/>
    </row>
    <row r="129" spans="1:6" s="75" customFormat="1" ht="30" customHeight="1" x14ac:dyDescent="0.25">
      <c r="A129" s="54" t="s">
        <v>25</v>
      </c>
      <c r="B129" s="55" t="s">
        <v>122</v>
      </c>
      <c r="C129" s="117">
        <f>C130+C131+C132+C133</f>
        <v>3840</v>
      </c>
      <c r="D129" s="117">
        <f>D130+D131+D132+D133</f>
        <v>2400</v>
      </c>
      <c r="E129" s="204">
        <f t="shared" si="5"/>
        <v>0.625</v>
      </c>
      <c r="F129" s="94">
        <f t="shared" ref="E129:F129" si="10">F130+F131+F132+F133</f>
        <v>0</v>
      </c>
    </row>
    <row r="130" spans="1:6" s="72" customFormat="1" ht="30" customHeight="1" x14ac:dyDescent="0.25">
      <c r="A130" s="44"/>
      <c r="B130" s="18" t="s">
        <v>123</v>
      </c>
      <c r="C130" s="113">
        <f>'02- KOMUNALNI'!C130+'04-H.G.I.'!C130</f>
        <v>3840</v>
      </c>
      <c r="D130" s="113">
        <f>'02- KOMUNALNI'!D130+'04-H.G.I.'!D130</f>
        <v>2400</v>
      </c>
      <c r="E130" s="208">
        <f t="shared" si="5"/>
        <v>0.625</v>
      </c>
      <c r="F130" s="82"/>
    </row>
    <row r="131" spans="1:6" ht="51" customHeight="1" x14ac:dyDescent="0.25">
      <c r="A131" s="9"/>
      <c r="B131" s="8" t="s">
        <v>124</v>
      </c>
      <c r="C131" s="113">
        <f>'02- KOMUNALNI'!C131+'04-H.G.I.'!C131</f>
        <v>0</v>
      </c>
      <c r="D131" s="113">
        <f>'02- KOMUNALNI'!D131+'04-H.G.I.'!D131</f>
        <v>0</v>
      </c>
      <c r="E131" s="208"/>
      <c r="F131" s="82"/>
    </row>
    <row r="132" spans="1:6" ht="30" customHeight="1" x14ac:dyDescent="0.25">
      <c r="A132" s="9"/>
      <c r="B132" s="8" t="s">
        <v>125</v>
      </c>
      <c r="C132" s="113">
        <f>'02- KOMUNALNI'!C132+'04-H.G.I.'!C132</f>
        <v>0</v>
      </c>
      <c r="D132" s="113">
        <f>'02- KOMUNALNI'!D132+'04-H.G.I.'!D132</f>
        <v>0</v>
      </c>
      <c r="E132" s="208"/>
      <c r="F132" s="82"/>
    </row>
    <row r="133" spans="1:6" ht="30" customHeight="1" x14ac:dyDescent="0.25">
      <c r="A133" s="9"/>
      <c r="B133" s="8" t="s">
        <v>126</v>
      </c>
      <c r="C133" s="113">
        <f>'02- KOMUNALNI'!C133+'04-H.G.I.'!C133</f>
        <v>0</v>
      </c>
      <c r="D133" s="113">
        <f>'02- KOMUNALNI'!D133+'04-H.G.I.'!D133</f>
        <v>0</v>
      </c>
      <c r="E133" s="208"/>
      <c r="F133" s="82"/>
    </row>
    <row r="134" spans="1:6" s="74" customFormat="1" ht="30" customHeight="1" x14ac:dyDescent="0.25">
      <c r="A134" s="12" t="s">
        <v>27</v>
      </c>
      <c r="B134" s="22" t="s">
        <v>128</v>
      </c>
      <c r="C134" s="121">
        <f t="shared" ref="C134:F134" si="11">C9-C29</f>
        <v>1798462</v>
      </c>
      <c r="D134" s="118">
        <f t="shared" si="11"/>
        <v>2171690.37</v>
      </c>
      <c r="E134" s="204">
        <f t="shared" si="5"/>
        <v>1.2075264142361641</v>
      </c>
      <c r="F134" s="95">
        <f t="shared" si="11"/>
        <v>339810</v>
      </c>
    </row>
  </sheetData>
  <mergeCells count="13">
    <mergeCell ref="F6:F8"/>
    <mergeCell ref="A26:A28"/>
    <mergeCell ref="B26:B28"/>
    <mergeCell ref="C26:C28"/>
    <mergeCell ref="D26:D28"/>
    <mergeCell ref="E26:E28"/>
    <mergeCell ref="F26:F28"/>
    <mergeCell ref="B4:E4"/>
    <mergeCell ref="A6:A8"/>
    <mergeCell ref="B6:B8"/>
    <mergeCell ref="C6:C8"/>
    <mergeCell ref="D6:D8"/>
    <mergeCell ref="E6:E8"/>
  </mergeCells>
  <phoneticPr fontId="52" type="noConversion"/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34"/>
  <sheetViews>
    <sheetView topLeftCell="A124" workbookViewId="0">
      <selection activeCell="E113" sqref="E113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52.140625" style="96" hidden="1" customWidth="1"/>
    <col min="7" max="16384" width="9.140625" style="45"/>
  </cols>
  <sheetData>
    <row r="1" spans="1:6" ht="18" customHeight="1" x14ac:dyDescent="0.25">
      <c r="A1" s="29"/>
      <c r="B1" s="30"/>
      <c r="C1" s="31"/>
      <c r="D1" s="31"/>
      <c r="E1" s="31"/>
      <c r="F1" s="86"/>
    </row>
    <row r="2" spans="1:6" s="75" customFormat="1" x14ac:dyDescent="0.25">
      <c r="A2" s="64"/>
      <c r="B2" s="14" t="s">
        <v>0</v>
      </c>
      <c r="C2" s="65"/>
      <c r="D2" s="65"/>
      <c r="E2" s="65"/>
      <c r="F2" s="87"/>
    </row>
    <row r="3" spans="1:6" s="47" customFormat="1" ht="15.75" x14ac:dyDescent="0.25">
      <c r="A3" s="1" t="s">
        <v>1</v>
      </c>
      <c r="B3" s="81" t="s">
        <v>156</v>
      </c>
      <c r="C3" s="25"/>
      <c r="D3" s="25"/>
      <c r="E3" s="25"/>
      <c r="F3" s="88"/>
    </row>
    <row r="4" spans="1:6" s="75" customFormat="1" ht="15.75" x14ac:dyDescent="0.25">
      <c r="A4" s="66"/>
      <c r="B4" s="159" t="s">
        <v>157</v>
      </c>
      <c r="C4" s="159"/>
      <c r="D4" s="159"/>
      <c r="E4" s="159"/>
      <c r="F4" s="89"/>
    </row>
    <row r="5" spans="1:6" s="75" customFormat="1" ht="15.75" x14ac:dyDescent="0.25">
      <c r="A5" s="66"/>
      <c r="B5" s="62"/>
      <c r="C5" s="63"/>
      <c r="D5" s="63"/>
      <c r="E5" s="63"/>
      <c r="F5" s="90"/>
    </row>
    <row r="6" spans="1:6" s="73" customFormat="1" ht="15" customHeight="1" x14ac:dyDescent="0.25">
      <c r="A6" s="160" t="s">
        <v>1</v>
      </c>
      <c r="B6" s="163" t="s">
        <v>2</v>
      </c>
      <c r="C6" s="166" t="s">
        <v>158</v>
      </c>
      <c r="D6" s="166" t="s">
        <v>159</v>
      </c>
      <c r="E6" s="166" t="s">
        <v>160</v>
      </c>
      <c r="F6" s="169" t="s">
        <v>151</v>
      </c>
    </row>
    <row r="7" spans="1:6" s="73" customFormat="1" ht="15" customHeight="1" x14ac:dyDescent="0.25">
      <c r="A7" s="161"/>
      <c r="B7" s="164"/>
      <c r="C7" s="167"/>
      <c r="D7" s="167"/>
      <c r="E7" s="167"/>
      <c r="F7" s="170"/>
    </row>
    <row r="8" spans="1:6" s="73" customFormat="1" ht="38.25" customHeight="1" x14ac:dyDescent="0.25">
      <c r="A8" s="162"/>
      <c r="B8" s="165"/>
      <c r="C8" s="168"/>
      <c r="D8" s="168"/>
      <c r="E8" s="168"/>
      <c r="F8" s="171"/>
    </row>
    <row r="9" spans="1:6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  <c r="F9" s="91">
        <f>F10+F11+F12+F13+F14+F15+F16+F17+F18+F19+F20+F21+F22+F23+F24+F25</f>
        <v>130000</v>
      </c>
    </row>
    <row r="10" spans="1:6" ht="30" customHeight="1" x14ac:dyDescent="0.25">
      <c r="A10" s="35" t="s">
        <v>5</v>
      </c>
      <c r="B10" s="16" t="s">
        <v>6</v>
      </c>
      <c r="C10" s="36">
        <v>0</v>
      </c>
      <c r="D10" s="36"/>
      <c r="E10" s="36">
        <v>0</v>
      </c>
      <c r="F10" s="82"/>
    </row>
    <row r="11" spans="1:6" ht="30" customHeight="1" x14ac:dyDescent="0.25">
      <c r="A11" s="37" t="s">
        <v>7</v>
      </c>
      <c r="B11" s="8" t="s">
        <v>8</v>
      </c>
      <c r="C11" s="36">
        <v>0</v>
      </c>
      <c r="D11" s="36"/>
      <c r="E11" s="36">
        <v>0</v>
      </c>
      <c r="F11" s="82"/>
    </row>
    <row r="12" spans="1:6" ht="30" customHeight="1" x14ac:dyDescent="0.25">
      <c r="A12" s="37" t="s">
        <v>9</v>
      </c>
      <c r="B12" s="8" t="s">
        <v>10</v>
      </c>
      <c r="C12" s="36">
        <v>0</v>
      </c>
      <c r="D12" s="36"/>
      <c r="E12" s="36">
        <v>0</v>
      </c>
      <c r="F12" s="82"/>
    </row>
    <row r="13" spans="1:6" ht="30" customHeight="1" x14ac:dyDescent="0.25">
      <c r="A13" s="35" t="s">
        <v>11</v>
      </c>
      <c r="B13" s="8" t="s">
        <v>12</v>
      </c>
      <c r="C13" s="36">
        <v>0</v>
      </c>
      <c r="D13" s="36"/>
      <c r="E13" s="36">
        <v>0</v>
      </c>
      <c r="F13" s="82"/>
    </row>
    <row r="14" spans="1:6" ht="30" customHeight="1" x14ac:dyDescent="0.25">
      <c r="A14" s="37" t="s">
        <v>13</v>
      </c>
      <c r="B14" s="8" t="s">
        <v>14</v>
      </c>
      <c r="C14" s="36">
        <v>0</v>
      </c>
      <c r="D14" s="36"/>
      <c r="E14" s="36">
        <v>0</v>
      </c>
      <c r="F14" s="82"/>
    </row>
    <row r="15" spans="1:6" ht="30" customHeight="1" x14ac:dyDescent="0.25">
      <c r="A15" s="37" t="s">
        <v>15</v>
      </c>
      <c r="B15" s="8" t="s">
        <v>16</v>
      </c>
      <c r="C15" s="36">
        <v>0</v>
      </c>
      <c r="D15" s="36"/>
      <c r="E15" s="36">
        <v>0</v>
      </c>
      <c r="F15" s="82"/>
    </row>
    <row r="16" spans="1:6" ht="30" customHeight="1" x14ac:dyDescent="0.25">
      <c r="A16" s="35" t="s">
        <v>17</v>
      </c>
      <c r="B16" s="8" t="s">
        <v>18</v>
      </c>
      <c r="C16" s="36">
        <v>0</v>
      </c>
      <c r="D16" s="36"/>
      <c r="E16" s="36">
        <v>0</v>
      </c>
      <c r="F16" s="82"/>
    </row>
    <row r="17" spans="1:6" ht="30" customHeight="1" x14ac:dyDescent="0.25">
      <c r="A17" s="37" t="s">
        <v>19</v>
      </c>
      <c r="B17" s="8" t="s">
        <v>20</v>
      </c>
      <c r="C17" s="36">
        <v>0</v>
      </c>
      <c r="D17" s="36"/>
      <c r="E17" s="36">
        <v>0</v>
      </c>
      <c r="F17" s="82"/>
    </row>
    <row r="18" spans="1:6" ht="30" customHeight="1" x14ac:dyDescent="0.25">
      <c r="A18" s="37" t="s">
        <v>21</v>
      </c>
      <c r="B18" s="8" t="s">
        <v>22</v>
      </c>
      <c r="C18" s="36">
        <v>0</v>
      </c>
      <c r="D18" s="36"/>
      <c r="E18" s="36">
        <v>0</v>
      </c>
      <c r="F18" s="82"/>
    </row>
    <row r="19" spans="1:6" ht="30" customHeight="1" x14ac:dyDescent="0.25">
      <c r="A19" s="35" t="s">
        <v>23</v>
      </c>
      <c r="B19" s="8" t="s">
        <v>24</v>
      </c>
      <c r="C19" s="36">
        <v>0</v>
      </c>
      <c r="D19" s="36"/>
      <c r="E19" s="36">
        <v>0</v>
      </c>
      <c r="F19" s="82"/>
    </row>
    <row r="20" spans="1:6" ht="30" customHeight="1" x14ac:dyDescent="0.25">
      <c r="A20" s="37" t="s">
        <v>25</v>
      </c>
      <c r="B20" s="8" t="s">
        <v>26</v>
      </c>
      <c r="C20" s="36">
        <v>0</v>
      </c>
      <c r="D20" s="36"/>
      <c r="E20" s="36">
        <v>0</v>
      </c>
      <c r="F20" s="82"/>
    </row>
    <row r="21" spans="1:6" ht="30" customHeight="1" x14ac:dyDescent="0.25">
      <c r="A21" s="37" t="s">
        <v>27</v>
      </c>
      <c r="B21" s="8" t="s">
        <v>28</v>
      </c>
      <c r="C21" s="36"/>
      <c r="D21" s="36"/>
      <c r="E21" s="36"/>
      <c r="F21" s="82">
        <v>130000</v>
      </c>
    </row>
    <row r="22" spans="1:6" ht="30" customHeight="1" x14ac:dyDescent="0.25">
      <c r="A22" s="35" t="s">
        <v>29</v>
      </c>
      <c r="B22" s="8" t="s">
        <v>30</v>
      </c>
      <c r="C22" s="36">
        <v>0</v>
      </c>
      <c r="D22" s="36"/>
      <c r="E22" s="36">
        <v>0</v>
      </c>
      <c r="F22" s="82"/>
    </row>
    <row r="23" spans="1:6" ht="30" customHeight="1" x14ac:dyDescent="0.25">
      <c r="A23" s="37" t="s">
        <v>31</v>
      </c>
      <c r="B23" s="8" t="s">
        <v>32</v>
      </c>
      <c r="C23" s="36">
        <v>0</v>
      </c>
      <c r="D23" s="36"/>
      <c r="E23" s="36">
        <v>0</v>
      </c>
      <c r="F23" s="82"/>
    </row>
    <row r="24" spans="1:6" ht="30" customHeight="1" x14ac:dyDescent="0.25">
      <c r="A24" s="37" t="s">
        <v>33</v>
      </c>
      <c r="B24" s="8" t="s">
        <v>34</v>
      </c>
      <c r="C24" s="36">
        <v>0</v>
      </c>
      <c r="D24" s="36"/>
      <c r="E24" s="36">
        <v>0</v>
      </c>
      <c r="F24" s="82"/>
    </row>
    <row r="25" spans="1:6" ht="30" customHeight="1" x14ac:dyDescent="0.25">
      <c r="A25" s="35" t="s">
        <v>35</v>
      </c>
      <c r="B25" s="8" t="s">
        <v>36</v>
      </c>
      <c r="C25" s="36">
        <v>0</v>
      </c>
      <c r="D25" s="36"/>
      <c r="E25" s="36">
        <v>0</v>
      </c>
      <c r="F25" s="82">
        <v>0</v>
      </c>
    </row>
    <row r="26" spans="1:6" s="73" customFormat="1" ht="30" customHeight="1" x14ac:dyDescent="0.25">
      <c r="A26" s="160" t="s">
        <v>1</v>
      </c>
      <c r="B26" s="175" t="s">
        <v>37</v>
      </c>
      <c r="C26" s="166" t="s">
        <v>158</v>
      </c>
      <c r="D26" s="166" t="s">
        <v>159</v>
      </c>
      <c r="E26" s="166" t="s">
        <v>160</v>
      </c>
      <c r="F26" s="169" t="s">
        <v>149</v>
      </c>
    </row>
    <row r="27" spans="1:6" s="73" customFormat="1" ht="25.5" customHeight="1" x14ac:dyDescent="0.25">
      <c r="A27" s="161"/>
      <c r="B27" s="176"/>
      <c r="C27" s="167"/>
      <c r="D27" s="167"/>
      <c r="E27" s="167"/>
      <c r="F27" s="170"/>
    </row>
    <row r="28" spans="1:6" s="73" customFormat="1" ht="9" customHeight="1" x14ac:dyDescent="0.25">
      <c r="A28" s="162"/>
      <c r="B28" s="177"/>
      <c r="C28" s="168"/>
      <c r="D28" s="168"/>
      <c r="E28" s="168"/>
      <c r="F28" s="171"/>
    </row>
    <row r="29" spans="1:6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 t="shared" ref="E29:F29" si="0">E31+E48+E99+E101+E105+E109+E126+E129+E107</f>
        <v>0</v>
      </c>
      <c r="F29" s="92">
        <f t="shared" si="0"/>
        <v>114000</v>
      </c>
    </row>
    <row r="30" spans="1:6" ht="30" customHeight="1" x14ac:dyDescent="0.25">
      <c r="A30" s="39"/>
      <c r="B30" s="16"/>
      <c r="C30" s="36"/>
      <c r="D30" s="36"/>
      <c r="E30" s="36"/>
      <c r="F30" s="82"/>
    </row>
    <row r="31" spans="1:6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>D32+D33+D34+D35+D36+D37+D38+D39+D40+D41+D42+D43+D44+D45+D46+D47</f>
        <v>0</v>
      </c>
      <c r="E31" s="51">
        <f t="shared" ref="E31:F31" si="1">E32+E33+E34+E35+E36+E37+E38+E39+E40+E41+E42+E43+E44+E45+E46+E47</f>
        <v>0</v>
      </c>
      <c r="F31" s="93">
        <f t="shared" si="1"/>
        <v>0</v>
      </c>
    </row>
    <row r="32" spans="1:6" s="72" customFormat="1" ht="30" customHeight="1" x14ac:dyDescent="0.25">
      <c r="A32" s="42"/>
      <c r="B32" s="18" t="s">
        <v>41</v>
      </c>
      <c r="C32" s="36">
        <v>0</v>
      </c>
      <c r="D32" s="36">
        <v>0</v>
      </c>
      <c r="E32" s="36"/>
      <c r="F32" s="82"/>
    </row>
    <row r="33" spans="1:6" s="72" customFormat="1" ht="30" customHeight="1" x14ac:dyDescent="0.25">
      <c r="A33" s="42"/>
      <c r="B33" s="18" t="s">
        <v>42</v>
      </c>
      <c r="C33" s="36">
        <v>0</v>
      </c>
      <c r="D33" s="36">
        <v>0</v>
      </c>
      <c r="E33" s="36">
        <v>0</v>
      </c>
      <c r="F33" s="82"/>
    </row>
    <row r="34" spans="1:6" ht="30" customHeight="1" x14ac:dyDescent="0.25">
      <c r="A34" s="9" t="s">
        <v>1</v>
      </c>
      <c r="B34" s="8" t="s">
        <v>43</v>
      </c>
      <c r="C34" s="36">
        <v>0</v>
      </c>
      <c r="D34" s="36">
        <v>0</v>
      </c>
      <c r="E34" s="36">
        <v>0</v>
      </c>
      <c r="F34" s="82"/>
    </row>
    <row r="35" spans="1:6" ht="30" customHeight="1" x14ac:dyDescent="0.25">
      <c r="A35" s="9"/>
      <c r="B35" s="8" t="s">
        <v>44</v>
      </c>
      <c r="C35" s="36">
        <v>0</v>
      </c>
      <c r="D35" s="36">
        <v>0</v>
      </c>
      <c r="E35" s="36">
        <v>0</v>
      </c>
      <c r="F35" s="82"/>
    </row>
    <row r="36" spans="1:6" ht="30" customHeight="1" x14ac:dyDescent="0.25">
      <c r="A36" s="9"/>
      <c r="B36" s="8" t="s">
        <v>45</v>
      </c>
      <c r="C36" s="36">
        <v>0</v>
      </c>
      <c r="D36" s="36">
        <v>0</v>
      </c>
      <c r="E36" s="36">
        <v>0</v>
      </c>
      <c r="F36" s="82"/>
    </row>
    <row r="37" spans="1:6" ht="30" customHeight="1" x14ac:dyDescent="0.25">
      <c r="A37" s="9" t="s">
        <v>1</v>
      </c>
      <c r="B37" s="8" t="s">
        <v>46</v>
      </c>
      <c r="C37" s="36">
        <v>0</v>
      </c>
      <c r="D37" s="36">
        <v>0</v>
      </c>
      <c r="E37" s="36">
        <v>0</v>
      </c>
      <c r="F37" s="82"/>
    </row>
    <row r="38" spans="1:6" ht="30" customHeight="1" x14ac:dyDescent="0.25">
      <c r="A38" s="9"/>
      <c r="B38" s="8" t="s">
        <v>47</v>
      </c>
      <c r="C38" s="36">
        <v>0</v>
      </c>
      <c r="D38" s="36">
        <v>0</v>
      </c>
      <c r="E38" s="36">
        <v>0</v>
      </c>
      <c r="F38" s="82"/>
    </row>
    <row r="39" spans="1:6" ht="30" customHeight="1" x14ac:dyDescent="0.25">
      <c r="A39" s="9"/>
      <c r="B39" s="8" t="s">
        <v>48</v>
      </c>
      <c r="C39" s="36"/>
      <c r="D39" s="36"/>
      <c r="E39" s="36"/>
      <c r="F39" s="82"/>
    </row>
    <row r="40" spans="1:6" ht="30" customHeight="1" x14ac:dyDescent="0.25">
      <c r="A40" s="9"/>
      <c r="B40" s="8" t="s">
        <v>49</v>
      </c>
      <c r="C40" s="36">
        <v>0</v>
      </c>
      <c r="D40" s="36"/>
      <c r="E40" s="36">
        <v>0</v>
      </c>
      <c r="F40" s="82"/>
    </row>
    <row r="41" spans="1:6" ht="30" customHeight="1" x14ac:dyDescent="0.25">
      <c r="A41" s="9"/>
      <c r="B41" s="8" t="s">
        <v>133</v>
      </c>
      <c r="C41" s="36">
        <v>0</v>
      </c>
      <c r="D41" s="36">
        <v>0</v>
      </c>
      <c r="E41" s="36">
        <v>0</v>
      </c>
      <c r="F41" s="82"/>
    </row>
    <row r="42" spans="1:6" ht="30" customHeight="1" x14ac:dyDescent="0.25">
      <c r="A42" s="9"/>
      <c r="B42" s="8" t="s">
        <v>139</v>
      </c>
      <c r="C42" s="36">
        <v>0</v>
      </c>
      <c r="D42" s="36">
        <v>0</v>
      </c>
      <c r="E42" s="36">
        <v>0</v>
      </c>
      <c r="F42" s="82"/>
    </row>
    <row r="43" spans="1:6" ht="30" customHeight="1" x14ac:dyDescent="0.25">
      <c r="A43" s="9"/>
      <c r="B43" s="8" t="s">
        <v>50</v>
      </c>
      <c r="C43" s="36">
        <v>0</v>
      </c>
      <c r="D43" s="36">
        <v>0</v>
      </c>
      <c r="E43" s="36">
        <v>0</v>
      </c>
      <c r="F43" s="82"/>
    </row>
    <row r="44" spans="1:6" ht="30" customHeight="1" x14ac:dyDescent="0.25">
      <c r="A44" s="9"/>
      <c r="B44" s="8" t="s">
        <v>51</v>
      </c>
      <c r="C44" s="36">
        <v>0</v>
      </c>
      <c r="D44" s="36">
        <v>0</v>
      </c>
      <c r="E44" s="36">
        <v>0</v>
      </c>
      <c r="F44" s="82"/>
    </row>
    <row r="45" spans="1:6" ht="30" customHeight="1" x14ac:dyDescent="0.25">
      <c r="A45" s="9"/>
      <c r="B45" s="8" t="s">
        <v>134</v>
      </c>
      <c r="C45" s="36">
        <v>0</v>
      </c>
      <c r="D45" s="36">
        <v>0</v>
      </c>
      <c r="E45" s="36">
        <v>0</v>
      </c>
      <c r="F45" s="82"/>
    </row>
    <row r="46" spans="1:6" ht="30" customHeight="1" x14ac:dyDescent="0.25">
      <c r="A46" s="9"/>
      <c r="B46" s="8"/>
      <c r="C46" s="36">
        <v>0</v>
      </c>
      <c r="D46" s="36">
        <v>0</v>
      </c>
      <c r="E46" s="36">
        <v>0</v>
      </c>
      <c r="F46" s="82"/>
    </row>
    <row r="47" spans="1:6" ht="30" customHeight="1" x14ac:dyDescent="0.25">
      <c r="A47" s="9"/>
      <c r="B47" s="8" t="s">
        <v>52</v>
      </c>
      <c r="C47" s="36">
        <v>0</v>
      </c>
      <c r="D47" s="36">
        <v>0</v>
      </c>
      <c r="E47" s="36">
        <v>0</v>
      </c>
      <c r="F47" s="82"/>
    </row>
    <row r="48" spans="1:6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:F48" si="2">E49+E50+E51+E52+E53+E54+E55+E56+E57+E58+E59+E60+E61+E62+E63+E64+E65+E66+E67+E68+E69+E70+E71+E72+E73+E75+E76+E77+E78+E79+E80+E81+E82+E83+E84+E85+E86+E87+E88+E89+E90+E91+E92+E93+E94+E95+E96+E97+E98+E74</f>
        <v>0</v>
      </c>
      <c r="F48" s="93">
        <f t="shared" si="2"/>
        <v>114000</v>
      </c>
    </row>
    <row r="49" spans="1:6" ht="30" customHeight="1" x14ac:dyDescent="0.25">
      <c r="A49" s="9"/>
      <c r="B49" s="8" t="s">
        <v>54</v>
      </c>
      <c r="C49" s="36">
        <v>0</v>
      </c>
      <c r="D49" s="36"/>
      <c r="E49" s="36">
        <v>0</v>
      </c>
      <c r="F49" s="82"/>
    </row>
    <row r="50" spans="1:6" ht="30" customHeight="1" x14ac:dyDescent="0.25">
      <c r="A50" s="9"/>
      <c r="B50" s="8" t="s">
        <v>55</v>
      </c>
      <c r="C50" s="36">
        <v>0</v>
      </c>
      <c r="D50" s="36"/>
      <c r="E50" s="36">
        <v>0</v>
      </c>
      <c r="F50" s="82"/>
    </row>
    <row r="51" spans="1:6" ht="30" customHeight="1" x14ac:dyDescent="0.25">
      <c r="A51" s="9"/>
      <c r="B51" s="8" t="s">
        <v>56</v>
      </c>
      <c r="C51" s="36">
        <v>0</v>
      </c>
      <c r="D51" s="36"/>
      <c r="E51" s="36">
        <v>0</v>
      </c>
      <c r="F51" s="82"/>
    </row>
    <row r="52" spans="1:6" ht="30" customHeight="1" x14ac:dyDescent="0.25">
      <c r="A52" s="9"/>
      <c r="B52" s="8" t="s">
        <v>57</v>
      </c>
      <c r="C52" s="36">
        <v>0</v>
      </c>
      <c r="D52" s="36"/>
      <c r="E52" s="36">
        <v>0</v>
      </c>
      <c r="F52" s="82"/>
    </row>
    <row r="53" spans="1:6" ht="30" customHeight="1" x14ac:dyDescent="0.25">
      <c r="A53" s="9"/>
      <c r="B53" s="8" t="s">
        <v>58</v>
      </c>
      <c r="C53" s="36">
        <v>0</v>
      </c>
      <c r="D53" s="36"/>
      <c r="E53" s="36">
        <v>0</v>
      </c>
      <c r="F53" s="82"/>
    </row>
    <row r="54" spans="1:6" ht="30" customHeight="1" x14ac:dyDescent="0.25">
      <c r="A54" s="9"/>
      <c r="B54" s="8" t="s">
        <v>59</v>
      </c>
      <c r="C54" s="36">
        <v>0</v>
      </c>
      <c r="D54" s="36"/>
      <c r="E54" s="36">
        <v>0</v>
      </c>
      <c r="F54" s="82"/>
    </row>
    <row r="55" spans="1:6" ht="30" customHeight="1" x14ac:dyDescent="0.25">
      <c r="A55" s="9"/>
      <c r="B55" s="19" t="s">
        <v>60</v>
      </c>
      <c r="C55" s="36">
        <v>0</v>
      </c>
      <c r="D55" s="36"/>
      <c r="E55" s="36">
        <v>0</v>
      </c>
      <c r="F55" s="82"/>
    </row>
    <row r="56" spans="1:6" ht="30" customHeight="1" x14ac:dyDescent="0.25">
      <c r="A56" s="9"/>
      <c r="B56" s="19" t="s">
        <v>61</v>
      </c>
      <c r="C56" s="36">
        <v>0</v>
      </c>
      <c r="D56" s="36"/>
      <c r="E56" s="36">
        <v>0</v>
      </c>
      <c r="F56" s="82"/>
    </row>
    <row r="57" spans="1:6" ht="30" customHeight="1" x14ac:dyDescent="0.25">
      <c r="A57" s="9"/>
      <c r="B57" s="8" t="s">
        <v>62</v>
      </c>
      <c r="C57" s="36">
        <v>0</v>
      </c>
      <c r="D57" s="36"/>
      <c r="E57" s="36">
        <v>0</v>
      </c>
      <c r="F57" s="82"/>
    </row>
    <row r="58" spans="1:6" ht="30" customHeight="1" x14ac:dyDescent="0.25">
      <c r="A58" s="9"/>
      <c r="B58" s="8" t="s">
        <v>135</v>
      </c>
      <c r="C58" s="36">
        <v>0</v>
      </c>
      <c r="D58" s="36"/>
      <c r="E58" s="36">
        <v>0</v>
      </c>
      <c r="F58" s="82"/>
    </row>
    <row r="59" spans="1:6" ht="30" customHeight="1" x14ac:dyDescent="0.25">
      <c r="A59" s="9"/>
      <c r="B59" s="8"/>
      <c r="C59" s="36">
        <v>0</v>
      </c>
      <c r="D59" s="36"/>
      <c r="E59" s="36">
        <v>0</v>
      </c>
      <c r="F59" s="82"/>
    </row>
    <row r="60" spans="1:6" ht="30" customHeight="1" x14ac:dyDescent="0.25">
      <c r="A60" s="9"/>
      <c r="B60" s="8" t="s">
        <v>63</v>
      </c>
      <c r="C60" s="36">
        <v>0</v>
      </c>
      <c r="D60" s="36"/>
      <c r="E60" s="36">
        <v>0</v>
      </c>
      <c r="F60" s="82"/>
    </row>
    <row r="61" spans="1:6" ht="30" customHeight="1" x14ac:dyDescent="0.25">
      <c r="A61" s="9"/>
      <c r="B61" s="8" t="s">
        <v>64</v>
      </c>
      <c r="C61" s="36">
        <v>0</v>
      </c>
      <c r="D61" s="36"/>
      <c r="E61" s="36">
        <v>0</v>
      </c>
      <c r="F61" s="82"/>
    </row>
    <row r="62" spans="1:6" ht="30" customHeight="1" x14ac:dyDescent="0.25">
      <c r="A62" s="9"/>
      <c r="B62" s="8" t="s">
        <v>65</v>
      </c>
      <c r="C62" s="36">
        <v>0</v>
      </c>
      <c r="D62" s="36"/>
      <c r="E62" s="36">
        <v>0</v>
      </c>
      <c r="F62" s="82"/>
    </row>
    <row r="63" spans="1:6" ht="30" customHeight="1" x14ac:dyDescent="0.25">
      <c r="A63" s="9"/>
      <c r="B63" s="8" t="s">
        <v>136</v>
      </c>
      <c r="C63" s="36">
        <v>0</v>
      </c>
      <c r="D63" s="36"/>
      <c r="E63" s="36">
        <v>0</v>
      </c>
      <c r="F63" s="82"/>
    </row>
    <row r="64" spans="1:6" ht="30" customHeight="1" x14ac:dyDescent="0.25">
      <c r="A64" s="9"/>
      <c r="B64" s="8"/>
      <c r="C64" s="36">
        <v>0</v>
      </c>
      <c r="D64" s="36"/>
      <c r="E64" s="36">
        <v>0</v>
      </c>
      <c r="F64" s="82"/>
    </row>
    <row r="65" spans="1:6" ht="30" customHeight="1" x14ac:dyDescent="0.25">
      <c r="A65" s="9"/>
      <c r="B65" s="8" t="s">
        <v>66</v>
      </c>
      <c r="C65" s="36">
        <v>0</v>
      </c>
      <c r="D65" s="36"/>
      <c r="E65" s="36">
        <v>0</v>
      </c>
      <c r="F65" s="82"/>
    </row>
    <row r="66" spans="1:6" ht="30" customHeight="1" x14ac:dyDescent="0.25">
      <c r="A66" s="9"/>
      <c r="B66" s="8" t="s">
        <v>67</v>
      </c>
      <c r="C66" s="36">
        <v>0</v>
      </c>
      <c r="D66" s="36"/>
      <c r="E66" s="36">
        <v>0</v>
      </c>
      <c r="F66" s="82"/>
    </row>
    <row r="67" spans="1:6" ht="30" customHeight="1" x14ac:dyDescent="0.25">
      <c r="A67" s="9"/>
      <c r="B67" s="8" t="s">
        <v>68</v>
      </c>
      <c r="C67" s="36">
        <v>0</v>
      </c>
      <c r="D67" s="36"/>
      <c r="E67" s="36">
        <v>0</v>
      </c>
      <c r="F67" s="82"/>
    </row>
    <row r="68" spans="1:6" ht="30" customHeight="1" x14ac:dyDescent="0.25">
      <c r="A68" s="9"/>
      <c r="B68" s="8" t="s">
        <v>137</v>
      </c>
      <c r="C68" s="36">
        <v>0</v>
      </c>
      <c r="D68" s="36"/>
      <c r="E68" s="36">
        <v>0</v>
      </c>
      <c r="F68" s="82"/>
    </row>
    <row r="69" spans="1:6" ht="30" customHeight="1" x14ac:dyDescent="0.25">
      <c r="A69" s="9"/>
      <c r="B69" s="8" t="s">
        <v>138</v>
      </c>
      <c r="C69" s="36">
        <v>0</v>
      </c>
      <c r="D69" s="36"/>
      <c r="E69" s="36">
        <v>0</v>
      </c>
      <c r="F69" s="82"/>
    </row>
    <row r="70" spans="1:6" ht="30" customHeight="1" x14ac:dyDescent="0.25">
      <c r="A70" s="9"/>
      <c r="B70" s="8" t="s">
        <v>69</v>
      </c>
      <c r="C70" s="36">
        <v>0</v>
      </c>
      <c r="D70" s="36"/>
      <c r="E70" s="36">
        <v>0</v>
      </c>
      <c r="F70" s="82"/>
    </row>
    <row r="71" spans="1:6" ht="30" customHeight="1" x14ac:dyDescent="0.25">
      <c r="A71" s="9"/>
      <c r="B71" s="8" t="s">
        <v>70</v>
      </c>
      <c r="C71" s="36">
        <v>0</v>
      </c>
      <c r="D71" s="36"/>
      <c r="E71" s="36">
        <v>0</v>
      </c>
      <c r="F71" s="82"/>
    </row>
    <row r="72" spans="1:6" ht="30" customHeight="1" x14ac:dyDescent="0.25">
      <c r="A72" s="9"/>
      <c r="B72" s="8" t="s">
        <v>71</v>
      </c>
      <c r="C72" s="36">
        <v>0</v>
      </c>
      <c r="D72" s="36"/>
      <c r="E72" s="36">
        <v>0</v>
      </c>
      <c r="F72" s="82"/>
    </row>
    <row r="73" spans="1:6" ht="30" customHeight="1" x14ac:dyDescent="0.25">
      <c r="A73" s="9"/>
      <c r="B73" s="8" t="s">
        <v>72</v>
      </c>
      <c r="C73" s="36">
        <v>0</v>
      </c>
      <c r="D73" s="36"/>
      <c r="E73" s="36">
        <v>0</v>
      </c>
      <c r="F73" s="82"/>
    </row>
    <row r="74" spans="1:6" ht="30" customHeight="1" x14ac:dyDescent="0.25">
      <c r="A74" s="9"/>
      <c r="B74" s="8" t="s">
        <v>73</v>
      </c>
      <c r="C74" s="36">
        <v>0</v>
      </c>
      <c r="D74" s="36"/>
      <c r="E74" s="36">
        <v>0</v>
      </c>
      <c r="F74" s="82"/>
    </row>
    <row r="75" spans="1:6" ht="30" customHeight="1" x14ac:dyDescent="0.25">
      <c r="A75" s="9"/>
      <c r="B75" s="8" t="s">
        <v>74</v>
      </c>
      <c r="C75" s="36">
        <v>0</v>
      </c>
      <c r="D75" s="36"/>
      <c r="E75" s="36">
        <v>0</v>
      </c>
      <c r="F75" s="82"/>
    </row>
    <row r="76" spans="1:6" ht="30" customHeight="1" x14ac:dyDescent="0.25">
      <c r="A76" s="9"/>
      <c r="B76" s="8" t="s">
        <v>75</v>
      </c>
      <c r="C76" s="36">
        <v>0</v>
      </c>
      <c r="D76" s="36"/>
      <c r="E76" s="36">
        <v>0</v>
      </c>
      <c r="F76" s="82"/>
    </row>
    <row r="77" spans="1:6" ht="30" customHeight="1" x14ac:dyDescent="0.25">
      <c r="A77" s="9"/>
      <c r="B77" s="8" t="s">
        <v>76</v>
      </c>
      <c r="C77" s="36">
        <v>0</v>
      </c>
      <c r="D77" s="36"/>
      <c r="E77" s="36">
        <v>0</v>
      </c>
      <c r="F77" s="82"/>
    </row>
    <row r="78" spans="1:6" ht="30" customHeight="1" x14ac:dyDescent="0.25">
      <c r="A78" s="9"/>
      <c r="B78" s="8" t="s">
        <v>77</v>
      </c>
      <c r="C78" s="36">
        <v>0</v>
      </c>
      <c r="D78" s="36"/>
      <c r="E78" s="36">
        <v>0</v>
      </c>
      <c r="F78" s="82"/>
    </row>
    <row r="79" spans="1:6" ht="36.75" customHeight="1" x14ac:dyDescent="0.25">
      <c r="A79" s="9"/>
      <c r="B79" s="8" t="s">
        <v>78</v>
      </c>
      <c r="C79" s="36">
        <v>0</v>
      </c>
      <c r="D79" s="36"/>
      <c r="E79" s="36">
        <v>0</v>
      </c>
      <c r="F79" s="82"/>
    </row>
    <row r="80" spans="1:6" ht="30" customHeight="1" x14ac:dyDescent="0.25">
      <c r="A80" s="9"/>
      <c r="B80" s="8" t="s">
        <v>79</v>
      </c>
      <c r="C80" s="36">
        <v>0</v>
      </c>
      <c r="D80" s="36"/>
      <c r="E80" s="36">
        <v>0</v>
      </c>
      <c r="F80" s="82"/>
    </row>
    <row r="81" spans="1:6" ht="30" customHeight="1" x14ac:dyDescent="0.25">
      <c r="A81" s="9"/>
      <c r="B81" s="8" t="s">
        <v>80</v>
      </c>
      <c r="C81" s="36">
        <v>0</v>
      </c>
      <c r="D81" s="36"/>
      <c r="E81" s="36">
        <v>0</v>
      </c>
      <c r="F81" s="82"/>
    </row>
    <row r="82" spans="1:6" ht="30" customHeight="1" x14ac:dyDescent="0.25">
      <c r="A82" s="9"/>
      <c r="B82" s="8" t="s">
        <v>81</v>
      </c>
      <c r="C82" s="36">
        <v>0</v>
      </c>
      <c r="D82" s="36"/>
      <c r="E82" s="36">
        <v>0</v>
      </c>
      <c r="F82" s="82"/>
    </row>
    <row r="83" spans="1:6" ht="30" customHeight="1" x14ac:dyDescent="0.25">
      <c r="A83" s="9"/>
      <c r="B83" s="8" t="s">
        <v>82</v>
      </c>
      <c r="C83" s="36">
        <v>0</v>
      </c>
      <c r="D83" s="36"/>
      <c r="E83" s="36">
        <v>0</v>
      </c>
      <c r="F83" s="82"/>
    </row>
    <row r="84" spans="1:6" ht="30" customHeight="1" x14ac:dyDescent="0.25">
      <c r="A84" s="9"/>
      <c r="B84" s="8" t="s">
        <v>83</v>
      </c>
      <c r="C84" s="36">
        <v>0</v>
      </c>
      <c r="D84" s="36"/>
      <c r="E84" s="36">
        <v>0</v>
      </c>
      <c r="F84" s="82"/>
    </row>
    <row r="85" spans="1:6" ht="30" customHeight="1" x14ac:dyDescent="0.25">
      <c r="A85" s="9"/>
      <c r="B85" s="8" t="s">
        <v>84</v>
      </c>
      <c r="C85" s="36">
        <v>0</v>
      </c>
      <c r="D85" s="36"/>
      <c r="E85" s="36">
        <v>0</v>
      </c>
      <c r="F85" s="82"/>
    </row>
    <row r="86" spans="1:6" ht="30" customHeight="1" x14ac:dyDescent="0.25">
      <c r="A86" s="9"/>
      <c r="B86" s="8" t="s">
        <v>85</v>
      </c>
      <c r="C86" s="36">
        <v>0</v>
      </c>
      <c r="D86" s="36"/>
      <c r="E86" s="36">
        <v>0</v>
      </c>
      <c r="F86" s="82"/>
    </row>
    <row r="87" spans="1:6" ht="30" customHeight="1" x14ac:dyDescent="0.25">
      <c r="A87" s="9"/>
      <c r="B87" s="8" t="s">
        <v>131</v>
      </c>
      <c r="C87" s="36"/>
      <c r="D87" s="36"/>
      <c r="E87" s="36"/>
      <c r="F87" s="82">
        <v>114000</v>
      </c>
    </row>
    <row r="88" spans="1:6" ht="30" customHeight="1" x14ac:dyDescent="0.25">
      <c r="A88" s="9"/>
      <c r="B88" s="8" t="s">
        <v>86</v>
      </c>
      <c r="C88" s="36">
        <v>0</v>
      </c>
      <c r="D88" s="36"/>
      <c r="E88" s="36">
        <v>0</v>
      </c>
      <c r="F88" s="82"/>
    </row>
    <row r="89" spans="1:6" ht="30" customHeight="1" x14ac:dyDescent="0.25">
      <c r="A89" s="9"/>
      <c r="B89" s="8" t="s">
        <v>87</v>
      </c>
      <c r="C89" s="36">
        <v>0</v>
      </c>
      <c r="D89" s="36"/>
      <c r="E89" s="36">
        <v>0</v>
      </c>
      <c r="F89" s="82"/>
    </row>
    <row r="90" spans="1:6" ht="30" customHeight="1" x14ac:dyDescent="0.25">
      <c r="A90" s="9"/>
      <c r="B90" s="8" t="s">
        <v>88</v>
      </c>
      <c r="C90" s="36">
        <v>0</v>
      </c>
      <c r="D90" s="36"/>
      <c r="E90" s="36">
        <v>0</v>
      </c>
      <c r="F90" s="82"/>
    </row>
    <row r="91" spans="1:6" ht="30" customHeight="1" x14ac:dyDescent="0.25">
      <c r="A91" s="9"/>
      <c r="B91" s="8" t="s">
        <v>89</v>
      </c>
      <c r="C91" s="36">
        <v>0</v>
      </c>
      <c r="D91" s="36"/>
      <c r="E91" s="36">
        <v>0</v>
      </c>
      <c r="F91" s="82"/>
    </row>
    <row r="92" spans="1:6" ht="30" customHeight="1" x14ac:dyDescent="0.25">
      <c r="A92" s="9"/>
      <c r="B92" s="8" t="s">
        <v>90</v>
      </c>
      <c r="C92" s="36">
        <v>0</v>
      </c>
      <c r="D92" s="36"/>
      <c r="E92" s="36">
        <v>0</v>
      </c>
      <c r="F92" s="82"/>
    </row>
    <row r="93" spans="1:6" ht="30" customHeight="1" x14ac:dyDescent="0.25">
      <c r="A93" s="9"/>
      <c r="B93" s="8"/>
      <c r="C93" s="36">
        <v>0</v>
      </c>
      <c r="D93" s="36"/>
      <c r="E93" s="36">
        <v>0</v>
      </c>
      <c r="F93" s="82"/>
    </row>
    <row r="94" spans="1:6" ht="30" customHeight="1" x14ac:dyDescent="0.25">
      <c r="A94" s="9"/>
      <c r="B94" s="20"/>
      <c r="C94" s="36">
        <v>0</v>
      </c>
      <c r="D94" s="36"/>
      <c r="E94" s="36">
        <v>0</v>
      </c>
      <c r="F94" s="82"/>
    </row>
    <row r="95" spans="1:6" ht="30" customHeight="1" x14ac:dyDescent="0.25">
      <c r="A95" s="9"/>
      <c r="B95" s="8" t="s">
        <v>91</v>
      </c>
      <c r="C95" s="36">
        <v>0</v>
      </c>
      <c r="D95" s="36"/>
      <c r="E95" s="36">
        <v>0</v>
      </c>
      <c r="F95" s="82"/>
    </row>
    <row r="96" spans="1:6" ht="30" customHeight="1" x14ac:dyDescent="0.25">
      <c r="A96" s="9"/>
      <c r="B96" s="8" t="s">
        <v>92</v>
      </c>
      <c r="C96" s="36">
        <v>0</v>
      </c>
      <c r="D96" s="36"/>
      <c r="E96" s="36">
        <v>0</v>
      </c>
      <c r="F96" s="82"/>
    </row>
    <row r="97" spans="1:6" ht="30" customHeight="1" x14ac:dyDescent="0.25">
      <c r="A97" s="9"/>
      <c r="B97" s="8" t="s">
        <v>93</v>
      </c>
      <c r="C97" s="36">
        <v>0</v>
      </c>
      <c r="D97" s="36"/>
      <c r="E97" s="36">
        <v>0</v>
      </c>
      <c r="F97" s="82"/>
    </row>
    <row r="98" spans="1:6" ht="30" customHeight="1" x14ac:dyDescent="0.25">
      <c r="A98" s="9"/>
      <c r="B98" s="8" t="s">
        <v>132</v>
      </c>
      <c r="C98" s="36">
        <v>0</v>
      </c>
      <c r="D98" s="36"/>
      <c r="E98" s="36">
        <v>0</v>
      </c>
      <c r="F98" s="82"/>
    </row>
    <row r="99" spans="1:6" s="75" customFormat="1" ht="30" customHeight="1" x14ac:dyDescent="0.25">
      <c r="A99" s="49" t="s">
        <v>9</v>
      </c>
      <c r="B99" s="50" t="s">
        <v>94</v>
      </c>
      <c r="C99" s="51">
        <f>C100</f>
        <v>0</v>
      </c>
      <c r="D99" s="51">
        <f>D100</f>
        <v>0</v>
      </c>
      <c r="E99" s="51">
        <f t="shared" ref="E99:F99" si="3">E100</f>
        <v>0</v>
      </c>
      <c r="F99" s="93">
        <f t="shared" si="3"/>
        <v>0</v>
      </c>
    </row>
    <row r="100" spans="1:6" ht="30" customHeight="1" x14ac:dyDescent="0.25">
      <c r="A100" s="9" t="s">
        <v>1</v>
      </c>
      <c r="B100" s="8" t="s">
        <v>95</v>
      </c>
      <c r="C100" s="36">
        <v>0</v>
      </c>
      <c r="D100" s="36">
        <v>0</v>
      </c>
      <c r="E100" s="36"/>
      <c r="F100" s="82"/>
    </row>
    <row r="101" spans="1:6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>D102+D103+D104</f>
        <v>0</v>
      </c>
      <c r="E101" s="51">
        <f t="shared" ref="E101" si="4">E102+E103+E104</f>
        <v>0</v>
      </c>
      <c r="F101" s="93">
        <f t="shared" ref="F101" si="5">F102+F103+F104</f>
        <v>0</v>
      </c>
    </row>
    <row r="102" spans="1:6" ht="30" customHeight="1" x14ac:dyDescent="0.25">
      <c r="A102" s="9"/>
      <c r="B102" s="8" t="s">
        <v>97</v>
      </c>
      <c r="C102" s="36">
        <v>0</v>
      </c>
      <c r="D102" s="36">
        <v>0</v>
      </c>
      <c r="E102" s="36"/>
      <c r="F102" s="82"/>
    </row>
    <row r="103" spans="1:6" ht="30" customHeight="1" x14ac:dyDescent="0.25">
      <c r="A103" s="9"/>
      <c r="B103" s="8" t="s">
        <v>98</v>
      </c>
      <c r="C103" s="36"/>
      <c r="D103" s="36"/>
      <c r="E103" s="36"/>
      <c r="F103" s="82">
        <v>0</v>
      </c>
    </row>
    <row r="104" spans="1:6" s="79" customFormat="1" ht="30" customHeight="1" x14ac:dyDescent="0.25">
      <c r="A104" s="9"/>
      <c r="B104" s="8" t="s">
        <v>99</v>
      </c>
      <c r="C104" s="36"/>
      <c r="D104" s="36"/>
      <c r="E104" s="36"/>
      <c r="F104" s="82">
        <v>0</v>
      </c>
    </row>
    <row r="105" spans="1:6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>D106</f>
        <v>0</v>
      </c>
      <c r="E105" s="51">
        <f t="shared" ref="E105:F105" si="6">E106</f>
        <v>0</v>
      </c>
      <c r="F105" s="93">
        <f t="shared" si="6"/>
        <v>0</v>
      </c>
    </row>
    <row r="106" spans="1:6" ht="30" customHeight="1" x14ac:dyDescent="0.25">
      <c r="A106" s="39"/>
      <c r="B106" s="16" t="s">
        <v>101</v>
      </c>
      <c r="C106" s="36">
        <v>0</v>
      </c>
      <c r="D106" s="36">
        <v>0</v>
      </c>
      <c r="E106" s="36"/>
      <c r="F106" s="82"/>
    </row>
    <row r="107" spans="1:6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>D108</f>
        <v>0</v>
      </c>
      <c r="E107" s="51">
        <f t="shared" ref="E107" si="7">E108</f>
        <v>0</v>
      </c>
      <c r="F107" s="93">
        <f>F108</f>
        <v>0</v>
      </c>
    </row>
    <row r="108" spans="1:6" s="6" customFormat="1" ht="30" customHeight="1" x14ac:dyDescent="0.25">
      <c r="A108" s="39"/>
      <c r="B108" s="16" t="s">
        <v>148</v>
      </c>
      <c r="C108" s="36"/>
      <c r="D108" s="36"/>
      <c r="E108" s="36"/>
      <c r="F108" s="82"/>
    </row>
    <row r="109" spans="1:6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>D110+D111+D112+D113+D114+D115+D116+D117+D118+D119+D120+D121+D122+D123+D124+D125</f>
        <v>0</v>
      </c>
      <c r="E109" s="51">
        <f t="shared" ref="E109" si="8">E110+E111+E112+E113+E114+E115+E116+E117+E118+E119+E120+E121+E122+E123+E124+E125</f>
        <v>0</v>
      </c>
      <c r="F109" s="93">
        <f t="shared" ref="F109" si="9">F110+F111+F112+F113+F114+F115+F116+F117+F118+F119+F120+F121+F122+F123+F124+F125</f>
        <v>0</v>
      </c>
    </row>
    <row r="110" spans="1:6" ht="30" customHeight="1" x14ac:dyDescent="0.25">
      <c r="A110" s="9"/>
      <c r="B110" s="8" t="s">
        <v>103</v>
      </c>
      <c r="C110" s="36">
        <v>0</v>
      </c>
      <c r="D110" s="36">
        <v>0</v>
      </c>
      <c r="E110" s="36"/>
      <c r="F110" s="82"/>
    </row>
    <row r="111" spans="1:6" ht="30" customHeight="1" x14ac:dyDescent="0.25">
      <c r="A111" s="9"/>
      <c r="B111" s="8" t="s">
        <v>104</v>
      </c>
      <c r="C111" s="36">
        <v>0</v>
      </c>
      <c r="D111" s="36">
        <v>0</v>
      </c>
      <c r="E111" s="36"/>
      <c r="F111" s="82"/>
    </row>
    <row r="112" spans="1:6" ht="30" customHeight="1" x14ac:dyDescent="0.25">
      <c r="A112" s="9"/>
      <c r="B112" s="8" t="s">
        <v>105</v>
      </c>
      <c r="C112" s="36">
        <v>0</v>
      </c>
      <c r="D112" s="36">
        <v>0</v>
      </c>
      <c r="E112" s="36"/>
      <c r="F112" s="82"/>
    </row>
    <row r="113" spans="1:6" ht="30" customHeight="1" x14ac:dyDescent="0.25">
      <c r="A113" s="9" t="s">
        <v>1</v>
      </c>
      <c r="B113" s="8" t="s">
        <v>106</v>
      </c>
      <c r="C113" s="36">
        <v>0</v>
      </c>
      <c r="D113" s="36">
        <v>0</v>
      </c>
      <c r="E113" s="36"/>
      <c r="F113" s="82"/>
    </row>
    <row r="114" spans="1:6" ht="30" customHeight="1" x14ac:dyDescent="0.25">
      <c r="A114" s="9"/>
      <c r="B114" s="8" t="s">
        <v>107</v>
      </c>
      <c r="C114" s="36">
        <v>0</v>
      </c>
      <c r="D114" s="36">
        <v>0</v>
      </c>
      <c r="E114" s="36"/>
      <c r="F114" s="82"/>
    </row>
    <row r="115" spans="1:6" ht="30" customHeight="1" x14ac:dyDescent="0.25">
      <c r="A115" s="9"/>
      <c r="B115" s="8" t="s">
        <v>108</v>
      </c>
      <c r="C115" s="36">
        <v>0</v>
      </c>
      <c r="D115" s="36">
        <v>0</v>
      </c>
      <c r="E115" s="36"/>
      <c r="F115" s="82"/>
    </row>
    <row r="116" spans="1:6" ht="30" customHeight="1" x14ac:dyDescent="0.25">
      <c r="A116" s="9"/>
      <c r="B116" s="8" t="s">
        <v>109</v>
      </c>
      <c r="C116" s="36">
        <v>0</v>
      </c>
      <c r="D116" s="36">
        <v>0</v>
      </c>
      <c r="E116" s="36"/>
      <c r="F116" s="82"/>
    </row>
    <row r="117" spans="1:6" ht="30" customHeight="1" x14ac:dyDescent="0.25">
      <c r="A117" s="9"/>
      <c r="B117" s="8" t="s">
        <v>110</v>
      </c>
      <c r="C117" s="36">
        <v>0</v>
      </c>
      <c r="D117" s="36">
        <v>0</v>
      </c>
      <c r="E117" s="36"/>
      <c r="F117" s="82"/>
    </row>
    <row r="118" spans="1:6" ht="30" customHeight="1" x14ac:dyDescent="0.25">
      <c r="A118" s="9"/>
      <c r="B118" s="8" t="s">
        <v>111</v>
      </c>
      <c r="C118" s="36">
        <v>0</v>
      </c>
      <c r="D118" s="36">
        <v>0</v>
      </c>
      <c r="E118" s="36"/>
      <c r="F118" s="82"/>
    </row>
    <row r="119" spans="1:6" ht="30" customHeight="1" x14ac:dyDescent="0.25">
      <c r="A119" s="9"/>
      <c r="B119" s="8" t="s">
        <v>112</v>
      </c>
      <c r="C119" s="36">
        <v>0</v>
      </c>
      <c r="D119" s="36">
        <v>0</v>
      </c>
      <c r="E119" s="36"/>
      <c r="F119" s="82"/>
    </row>
    <row r="120" spans="1:6" ht="30" customHeight="1" x14ac:dyDescent="0.25">
      <c r="A120" s="9"/>
      <c r="B120" s="8" t="s">
        <v>113</v>
      </c>
      <c r="C120" s="36">
        <v>0</v>
      </c>
      <c r="D120" s="36">
        <v>0</v>
      </c>
      <c r="E120" s="36"/>
      <c r="F120" s="82"/>
    </row>
    <row r="121" spans="1:6" ht="30" customHeight="1" x14ac:dyDescent="0.25">
      <c r="A121" s="9"/>
      <c r="B121" s="8" t="s">
        <v>114</v>
      </c>
      <c r="C121" s="36">
        <v>0</v>
      </c>
      <c r="D121" s="36">
        <v>0</v>
      </c>
      <c r="E121" s="36"/>
      <c r="F121" s="82"/>
    </row>
    <row r="122" spans="1:6" ht="30" customHeight="1" x14ac:dyDescent="0.25">
      <c r="A122" s="9"/>
      <c r="B122" s="8" t="s">
        <v>115</v>
      </c>
      <c r="C122" s="36">
        <v>0</v>
      </c>
      <c r="D122" s="36">
        <v>0</v>
      </c>
      <c r="E122" s="36"/>
      <c r="F122" s="82"/>
    </row>
    <row r="123" spans="1:6" ht="30" customHeight="1" x14ac:dyDescent="0.25">
      <c r="A123" s="9"/>
      <c r="B123" s="8" t="s">
        <v>116</v>
      </c>
      <c r="C123" s="36">
        <v>0</v>
      </c>
      <c r="D123" s="36">
        <v>0</v>
      </c>
      <c r="E123" s="36"/>
      <c r="F123" s="82"/>
    </row>
    <row r="124" spans="1:6" ht="30" customHeight="1" x14ac:dyDescent="0.25">
      <c r="A124" s="9"/>
      <c r="B124" s="8" t="s">
        <v>117</v>
      </c>
      <c r="C124" s="36">
        <v>0</v>
      </c>
      <c r="D124" s="36">
        <v>0</v>
      </c>
      <c r="E124" s="36"/>
      <c r="F124" s="82"/>
    </row>
    <row r="125" spans="1:6" ht="30" customHeight="1" x14ac:dyDescent="0.25">
      <c r="A125" s="9"/>
      <c r="B125" s="8" t="s">
        <v>118</v>
      </c>
      <c r="C125" s="36">
        <v>0</v>
      </c>
      <c r="D125" s="36">
        <v>0</v>
      </c>
      <c r="E125" s="36"/>
      <c r="F125" s="82"/>
    </row>
    <row r="126" spans="1:6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  <c r="F126" s="94">
        <f>F127+F128</f>
        <v>0</v>
      </c>
    </row>
    <row r="127" spans="1:6" ht="30" customHeight="1" x14ac:dyDescent="0.25">
      <c r="A127" s="9"/>
      <c r="B127" s="8" t="s">
        <v>120</v>
      </c>
      <c r="C127" s="36">
        <v>0</v>
      </c>
      <c r="D127" s="36">
        <v>0</v>
      </c>
      <c r="E127" s="36"/>
      <c r="F127" s="82"/>
    </row>
    <row r="128" spans="1:6" ht="30" customHeight="1" x14ac:dyDescent="0.25">
      <c r="A128" s="9"/>
      <c r="B128" s="8" t="s">
        <v>121</v>
      </c>
      <c r="C128" s="36"/>
      <c r="D128" s="36"/>
      <c r="E128" s="36"/>
      <c r="F128" s="82">
        <v>0</v>
      </c>
    </row>
    <row r="129" spans="1:6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>D130+D131+D132+D133</f>
        <v>0</v>
      </c>
      <c r="E129" s="56">
        <f t="shared" ref="E129" si="10">E130+E131+E132+E133</f>
        <v>0</v>
      </c>
      <c r="F129" s="94">
        <f t="shared" ref="F129" si="11">F130+F131+F132+F133</f>
        <v>0</v>
      </c>
    </row>
    <row r="130" spans="1:6" s="72" customFormat="1" ht="30" customHeight="1" x14ac:dyDescent="0.25">
      <c r="A130" s="44"/>
      <c r="B130" s="18" t="s">
        <v>123</v>
      </c>
      <c r="C130" s="36">
        <v>0</v>
      </c>
      <c r="D130" s="36">
        <v>0</v>
      </c>
      <c r="E130" s="36"/>
      <c r="F130" s="82"/>
    </row>
    <row r="131" spans="1:6" ht="51" customHeight="1" x14ac:dyDescent="0.25">
      <c r="A131" s="9"/>
      <c r="B131" s="8" t="s">
        <v>124</v>
      </c>
      <c r="C131" s="36">
        <v>0</v>
      </c>
      <c r="D131" s="36">
        <v>0</v>
      </c>
      <c r="E131" s="36"/>
      <c r="F131" s="82"/>
    </row>
    <row r="132" spans="1:6" ht="30" customHeight="1" x14ac:dyDescent="0.25">
      <c r="A132" s="9"/>
      <c r="B132" s="8" t="s">
        <v>125</v>
      </c>
      <c r="C132" s="36">
        <v>0</v>
      </c>
      <c r="D132" s="36">
        <v>0</v>
      </c>
      <c r="E132" s="36"/>
      <c r="F132" s="82"/>
    </row>
    <row r="133" spans="1:6" ht="30" customHeight="1" x14ac:dyDescent="0.25">
      <c r="A133" s="9"/>
      <c r="B133" s="8" t="s">
        <v>126</v>
      </c>
      <c r="C133" s="36">
        <v>0</v>
      </c>
      <c r="D133" s="36">
        <v>0</v>
      </c>
      <c r="E133" s="36"/>
      <c r="F133" s="82"/>
    </row>
    <row r="134" spans="1:6" s="74" customFormat="1" ht="30" customHeight="1" x14ac:dyDescent="0.25">
      <c r="A134" s="12" t="s">
        <v>27</v>
      </c>
      <c r="B134" s="22" t="s">
        <v>128</v>
      </c>
      <c r="C134" s="26">
        <f t="shared" ref="C134" si="12">C9-C29</f>
        <v>0</v>
      </c>
      <c r="D134" s="26">
        <f t="shared" ref="D134:E134" si="13">D9-D29</f>
        <v>0</v>
      </c>
      <c r="E134" s="26">
        <f t="shared" si="13"/>
        <v>0</v>
      </c>
      <c r="F134" s="95">
        <f t="shared" ref="F134" si="14">F9-F29</f>
        <v>16000</v>
      </c>
    </row>
  </sheetData>
  <mergeCells count="13"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4"/>
  <sheetViews>
    <sheetView topLeftCell="A105" workbookViewId="0">
      <selection activeCell="C29" sqref="C29:E29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x14ac:dyDescent="0.25">
      <c r="A1" s="29"/>
      <c r="B1" s="30"/>
      <c r="C1" s="31"/>
      <c r="D1" s="31"/>
      <c r="E1" s="31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141</v>
      </c>
      <c r="C3" s="25"/>
      <c r="D3" s="25"/>
      <c r="E3" s="25"/>
    </row>
    <row r="4" spans="1:5" s="75" customFormat="1" ht="15.75" x14ac:dyDescent="0.25">
      <c r="A4" s="66"/>
      <c r="B4" s="159" t="s">
        <v>145</v>
      </c>
      <c r="C4" s="159"/>
      <c r="D4" s="159"/>
      <c r="E4" s="67"/>
    </row>
    <row r="5" spans="1:5" ht="15.75" x14ac:dyDescent="0.25">
      <c r="A5" s="32"/>
      <c r="B5" s="30"/>
      <c r="C5" s="31"/>
      <c r="D5" s="31"/>
      <c r="E5" s="31"/>
    </row>
    <row r="6" spans="1:5" s="73" customFormat="1" ht="15" customHeight="1" x14ac:dyDescent="0.25">
      <c r="A6" s="160" t="s">
        <v>1</v>
      </c>
      <c r="B6" s="163" t="s">
        <v>2</v>
      </c>
      <c r="C6" s="166" t="s">
        <v>146</v>
      </c>
      <c r="D6" s="166" t="s">
        <v>147</v>
      </c>
      <c r="E6" s="166" t="s">
        <v>140</v>
      </c>
    </row>
    <row r="7" spans="1:5" s="73" customFormat="1" ht="15" customHeight="1" x14ac:dyDescent="0.25">
      <c r="A7" s="161"/>
      <c r="B7" s="164"/>
      <c r="C7" s="167"/>
      <c r="D7" s="167"/>
      <c r="E7" s="167"/>
    </row>
    <row r="8" spans="1:5" s="73" customFormat="1" ht="70.5" customHeight="1" x14ac:dyDescent="0.25">
      <c r="A8" s="162"/>
      <c r="B8" s="165"/>
      <c r="C8" s="168"/>
      <c r="D8" s="168"/>
      <c r="E8" s="168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60" t="s">
        <v>1</v>
      </c>
      <c r="B26" s="175" t="s">
        <v>37</v>
      </c>
      <c r="C26" s="166" t="s">
        <v>146</v>
      </c>
      <c r="D26" s="166" t="s">
        <v>147</v>
      </c>
      <c r="E26" s="166" t="s">
        <v>140</v>
      </c>
    </row>
    <row r="27" spans="1:5" s="73" customFormat="1" ht="39" customHeight="1" x14ac:dyDescent="0.25">
      <c r="A27" s="161"/>
      <c r="B27" s="176"/>
      <c r="C27" s="167"/>
      <c r="D27" s="167"/>
      <c r="E27" s="167"/>
    </row>
    <row r="28" spans="1:5" s="73" customFormat="1" ht="17.25" customHeight="1" x14ac:dyDescent="0.25">
      <c r="A28" s="162"/>
      <c r="B28" s="177"/>
      <c r="C28" s="168"/>
      <c r="D28" s="168"/>
      <c r="E28" s="168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 t="shared" ref="D29:E29" si="0">D31+D48+D99+D101+D105+D109+D126+D129+D107</f>
        <v>0</v>
      </c>
      <c r="E29" s="5">
        <f t="shared" si="0"/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" si="1">D32+D33+D34+D35+D36+D37+D38+D39+D40+D41+D42+D43+D44+D45+D46+D47</f>
        <v>0</v>
      </c>
      <c r="E31" s="51">
        <f t="shared" ref="E31" si="2">E32+E33+E34+E35+E36+E37+E38+E39+E40+E41+E42+E43+E44+E45+E46+E47</f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133</v>
      </c>
      <c r="C41" s="36"/>
      <c r="D41" s="36"/>
      <c r="E41" s="36"/>
    </row>
    <row r="42" spans="1:5" ht="30" customHeight="1" x14ac:dyDescent="0.25">
      <c r="A42" s="9"/>
      <c r="B42" s="8" t="s">
        <v>139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134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52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" si="4">E49+E50+E51+E52+E53+E54+E55+E56+E57+E58+E59+E60+E61+E62+E63+E64+E65+E66+E67+E68+E69+E70+E71+E72+E73+E75+E76+E77+E78+E79+E80+E81+E82+E83+E84+E85+E86+E87+E88+E89+E90+E91+E92+E93+E94+E95+E96+E97+E98+E74</f>
        <v>0</v>
      </c>
    </row>
    <row r="49" spans="1:5" ht="30" customHeight="1" x14ac:dyDescent="0.25">
      <c r="A49" s="9"/>
      <c r="B49" s="8" t="s">
        <v>54</v>
      </c>
      <c r="C49" s="36"/>
      <c r="D49" s="36"/>
      <c r="E49" s="36"/>
    </row>
    <row r="50" spans="1:5" ht="30" customHeight="1" x14ac:dyDescent="0.25">
      <c r="A50" s="9"/>
      <c r="B50" s="8" t="s">
        <v>55</v>
      </c>
      <c r="C50" s="36"/>
      <c r="D50" s="36"/>
      <c r="E50" s="36"/>
    </row>
    <row r="51" spans="1:5" ht="30" customHeight="1" x14ac:dyDescent="0.25">
      <c r="A51" s="9"/>
      <c r="B51" s="8" t="s">
        <v>56</v>
      </c>
      <c r="C51" s="36"/>
      <c r="D51" s="36"/>
      <c r="E51" s="36"/>
    </row>
    <row r="52" spans="1:5" ht="30" customHeight="1" x14ac:dyDescent="0.25">
      <c r="A52" s="9"/>
      <c r="B52" s="8" t="s">
        <v>57</v>
      </c>
      <c r="C52" s="36"/>
      <c r="D52" s="36"/>
      <c r="E52" s="36"/>
    </row>
    <row r="53" spans="1:5" ht="30" customHeight="1" x14ac:dyDescent="0.25">
      <c r="A53" s="9"/>
      <c r="B53" s="8" t="s">
        <v>58</v>
      </c>
      <c r="C53" s="36"/>
      <c r="D53" s="36"/>
      <c r="E53" s="36"/>
    </row>
    <row r="54" spans="1:5" ht="30" customHeight="1" x14ac:dyDescent="0.25">
      <c r="A54" s="9"/>
      <c r="B54" s="8" t="s">
        <v>59</v>
      </c>
      <c r="C54" s="36"/>
      <c r="D54" s="36"/>
      <c r="E54" s="36"/>
    </row>
    <row r="55" spans="1:5" ht="30" customHeight="1" x14ac:dyDescent="0.25">
      <c r="A55" s="9"/>
      <c r="B55" s="19" t="s">
        <v>60</v>
      </c>
      <c r="C55" s="36"/>
      <c r="D55" s="36"/>
      <c r="E55" s="36"/>
    </row>
    <row r="56" spans="1:5" ht="30" customHeight="1" x14ac:dyDescent="0.25">
      <c r="A56" s="9"/>
      <c r="B56" s="19" t="s">
        <v>61</v>
      </c>
      <c r="C56" s="36"/>
      <c r="D56" s="36"/>
      <c r="E56" s="36"/>
    </row>
    <row r="57" spans="1:5" ht="30" customHeight="1" x14ac:dyDescent="0.25">
      <c r="A57" s="9"/>
      <c r="B57" s="8" t="s">
        <v>62</v>
      </c>
      <c r="C57" s="36"/>
      <c r="D57" s="36"/>
      <c r="E57" s="36"/>
    </row>
    <row r="58" spans="1:5" ht="30" customHeight="1" x14ac:dyDescent="0.25">
      <c r="A58" s="9"/>
      <c r="B58" s="8" t="s">
        <v>135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63</v>
      </c>
      <c r="C60" s="36"/>
      <c r="D60" s="36"/>
      <c r="E60" s="36"/>
    </row>
    <row r="61" spans="1:5" ht="30" customHeight="1" x14ac:dyDescent="0.25">
      <c r="A61" s="9"/>
      <c r="B61" s="8" t="s">
        <v>64</v>
      </c>
      <c r="C61" s="36"/>
      <c r="D61" s="36"/>
      <c r="E61" s="36"/>
    </row>
    <row r="62" spans="1:5" ht="30" customHeight="1" x14ac:dyDescent="0.25">
      <c r="A62" s="9"/>
      <c r="B62" s="8" t="s">
        <v>65</v>
      </c>
      <c r="C62" s="36"/>
      <c r="D62" s="36"/>
      <c r="E62" s="36"/>
    </row>
    <row r="63" spans="1:5" ht="30" customHeight="1" x14ac:dyDescent="0.25">
      <c r="A63" s="9"/>
      <c r="B63" s="8" t="s">
        <v>136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66</v>
      </c>
      <c r="C65" s="36"/>
      <c r="D65" s="36"/>
      <c r="E65" s="36"/>
    </row>
    <row r="66" spans="1:5" ht="30" customHeight="1" x14ac:dyDescent="0.25">
      <c r="A66" s="9"/>
      <c r="B66" s="8" t="s">
        <v>67</v>
      </c>
      <c r="C66" s="36"/>
      <c r="D66" s="36"/>
      <c r="E66" s="36"/>
    </row>
    <row r="67" spans="1:5" ht="30" customHeight="1" x14ac:dyDescent="0.25">
      <c r="A67" s="9"/>
      <c r="B67" s="8" t="s">
        <v>68</v>
      </c>
      <c r="C67" s="36"/>
      <c r="D67" s="36"/>
      <c r="E67" s="36"/>
    </row>
    <row r="68" spans="1:5" ht="30" customHeight="1" x14ac:dyDescent="0.25">
      <c r="A68" s="9"/>
      <c r="B68" s="8" t="s">
        <v>137</v>
      </c>
      <c r="C68" s="36"/>
      <c r="D68" s="36"/>
      <c r="E68" s="36"/>
    </row>
    <row r="69" spans="1:5" ht="30" customHeight="1" x14ac:dyDescent="0.25">
      <c r="A69" s="9"/>
      <c r="B69" s="8" t="s">
        <v>138</v>
      </c>
      <c r="C69" s="36"/>
      <c r="D69" s="36"/>
      <c r="E69" s="36"/>
    </row>
    <row r="70" spans="1:5" ht="30" customHeight="1" x14ac:dyDescent="0.25">
      <c r="A70" s="9"/>
      <c r="B70" s="8" t="s">
        <v>69</v>
      </c>
      <c r="C70" s="36"/>
      <c r="D70" s="36"/>
      <c r="E70" s="36"/>
    </row>
    <row r="71" spans="1:5" ht="30" customHeight="1" x14ac:dyDescent="0.25">
      <c r="A71" s="9"/>
      <c r="B71" s="8" t="s">
        <v>70</v>
      </c>
      <c r="C71" s="36"/>
      <c r="D71" s="36"/>
      <c r="E71" s="36"/>
    </row>
    <row r="72" spans="1:5" ht="30" customHeight="1" x14ac:dyDescent="0.25">
      <c r="A72" s="9"/>
      <c r="B72" s="8" t="s">
        <v>71</v>
      </c>
      <c r="C72" s="36"/>
      <c r="D72" s="36"/>
      <c r="E72" s="36"/>
    </row>
    <row r="73" spans="1:5" ht="30" customHeight="1" x14ac:dyDescent="0.25">
      <c r="A73" s="9"/>
      <c r="B73" s="8" t="s">
        <v>72</v>
      </c>
      <c r="C73" s="36"/>
      <c r="D73" s="36"/>
      <c r="E73" s="36"/>
    </row>
    <row r="74" spans="1:5" ht="30" customHeight="1" x14ac:dyDescent="0.25">
      <c r="A74" s="9"/>
      <c r="B74" s="8" t="s">
        <v>73</v>
      </c>
      <c r="C74" s="36"/>
      <c r="D74" s="36"/>
      <c r="E74" s="36"/>
    </row>
    <row r="75" spans="1:5" ht="30" customHeight="1" x14ac:dyDescent="0.25">
      <c r="A75" s="9"/>
      <c r="B75" s="8" t="s">
        <v>74</v>
      </c>
      <c r="C75" s="36"/>
      <c r="D75" s="36"/>
      <c r="E75" s="36"/>
    </row>
    <row r="76" spans="1:5" ht="30" customHeight="1" x14ac:dyDescent="0.25">
      <c r="A76" s="9"/>
      <c r="B76" s="8" t="s">
        <v>75</v>
      </c>
      <c r="C76" s="36"/>
      <c r="D76" s="36"/>
      <c r="E76" s="36"/>
    </row>
    <row r="77" spans="1:5" ht="30" customHeight="1" x14ac:dyDescent="0.25">
      <c r="A77" s="9"/>
      <c r="B77" s="8" t="s">
        <v>76</v>
      </c>
      <c r="C77" s="36"/>
      <c r="D77" s="36"/>
      <c r="E77" s="36"/>
    </row>
    <row r="78" spans="1:5" ht="30" customHeight="1" x14ac:dyDescent="0.25">
      <c r="A78" s="9"/>
      <c r="B78" s="8" t="s">
        <v>77</v>
      </c>
      <c r="C78" s="36"/>
      <c r="D78" s="36"/>
      <c r="E78" s="36"/>
    </row>
    <row r="79" spans="1:5" ht="36.75" customHeight="1" x14ac:dyDescent="0.25">
      <c r="A79" s="9"/>
      <c r="B79" s="8" t="s">
        <v>78</v>
      </c>
      <c r="C79" s="36"/>
      <c r="D79" s="36"/>
      <c r="E79" s="36"/>
    </row>
    <row r="80" spans="1:5" ht="30" customHeight="1" x14ac:dyDescent="0.25">
      <c r="A80" s="9"/>
      <c r="B80" s="8" t="s">
        <v>79</v>
      </c>
      <c r="C80" s="36"/>
      <c r="D80" s="36"/>
      <c r="E80" s="36"/>
    </row>
    <row r="81" spans="1:5" ht="30" customHeight="1" x14ac:dyDescent="0.25">
      <c r="A81" s="9"/>
      <c r="B81" s="8" t="s">
        <v>80</v>
      </c>
      <c r="C81" s="36"/>
      <c r="D81" s="36"/>
      <c r="E81" s="36"/>
    </row>
    <row r="82" spans="1:5" ht="30" customHeight="1" x14ac:dyDescent="0.25">
      <c r="A82" s="9"/>
      <c r="B82" s="8" t="s">
        <v>81</v>
      </c>
      <c r="C82" s="36"/>
      <c r="D82" s="36"/>
      <c r="E82" s="36"/>
    </row>
    <row r="83" spans="1:5" ht="30" customHeight="1" x14ac:dyDescent="0.25">
      <c r="A83" s="9"/>
      <c r="B83" s="8" t="s">
        <v>82</v>
      </c>
      <c r="C83" s="36"/>
      <c r="D83" s="36"/>
      <c r="E83" s="36"/>
    </row>
    <row r="84" spans="1:5" ht="30" customHeight="1" x14ac:dyDescent="0.25">
      <c r="A84" s="9"/>
      <c r="B84" s="8" t="s">
        <v>83</v>
      </c>
      <c r="C84" s="36"/>
      <c r="D84" s="36"/>
      <c r="E84" s="36"/>
    </row>
    <row r="85" spans="1:5" ht="30" customHeight="1" x14ac:dyDescent="0.25">
      <c r="A85" s="9"/>
      <c r="B85" s="8" t="s">
        <v>84</v>
      </c>
      <c r="C85" s="36"/>
      <c r="D85" s="36"/>
      <c r="E85" s="36"/>
    </row>
    <row r="86" spans="1:5" ht="30" customHeight="1" x14ac:dyDescent="0.25">
      <c r="A86" s="9"/>
      <c r="B86" s="8" t="s">
        <v>85</v>
      </c>
      <c r="C86" s="36"/>
      <c r="D86" s="36"/>
      <c r="E86" s="36"/>
    </row>
    <row r="87" spans="1:5" ht="30" customHeight="1" x14ac:dyDescent="0.25">
      <c r="A87" s="9"/>
      <c r="B87" s="8" t="s">
        <v>131</v>
      </c>
      <c r="C87" s="36"/>
      <c r="D87" s="36"/>
      <c r="E87" s="36"/>
    </row>
    <row r="88" spans="1:5" ht="30" customHeight="1" x14ac:dyDescent="0.25">
      <c r="A88" s="9"/>
      <c r="B88" s="8" t="s">
        <v>86</v>
      </c>
      <c r="C88" s="36"/>
      <c r="D88" s="36"/>
      <c r="E88" s="36"/>
    </row>
    <row r="89" spans="1:5" ht="30" customHeight="1" x14ac:dyDescent="0.25">
      <c r="A89" s="9"/>
      <c r="B89" s="8" t="s">
        <v>87</v>
      </c>
      <c r="C89" s="36"/>
      <c r="D89" s="36"/>
      <c r="E89" s="36"/>
    </row>
    <row r="90" spans="1:5" ht="30" customHeight="1" x14ac:dyDescent="0.25">
      <c r="A90" s="9"/>
      <c r="B90" s="8" t="s">
        <v>88</v>
      </c>
      <c r="C90" s="36"/>
      <c r="D90" s="36"/>
      <c r="E90" s="36"/>
    </row>
    <row r="91" spans="1:5" ht="30" customHeight="1" x14ac:dyDescent="0.25">
      <c r="A91" s="9"/>
      <c r="B91" s="8" t="s">
        <v>89</v>
      </c>
      <c r="C91" s="36"/>
      <c r="D91" s="36"/>
      <c r="E91" s="36"/>
    </row>
    <row r="92" spans="1:5" ht="30" customHeight="1" x14ac:dyDescent="0.25">
      <c r="A92" s="9"/>
      <c r="B92" s="8" t="s">
        <v>90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91</v>
      </c>
      <c r="C95" s="36"/>
      <c r="D95" s="36"/>
      <c r="E95" s="36"/>
    </row>
    <row r="96" spans="1:5" ht="30" customHeight="1" x14ac:dyDescent="0.25">
      <c r="A96" s="9"/>
      <c r="B96" s="8" t="s">
        <v>92</v>
      </c>
      <c r="C96" s="36"/>
      <c r="D96" s="36"/>
      <c r="E96" s="36"/>
    </row>
    <row r="97" spans="1:5" ht="30" customHeight="1" x14ac:dyDescent="0.25">
      <c r="A97" s="9"/>
      <c r="B97" s="8" t="s">
        <v>93</v>
      </c>
      <c r="C97" s="36"/>
      <c r="D97" s="36"/>
      <c r="E97" s="36"/>
    </row>
    <row r="98" spans="1:5" ht="30" customHeight="1" x14ac:dyDescent="0.25">
      <c r="A98" s="9"/>
      <c r="B98" s="8" t="s">
        <v>132</v>
      </c>
      <c r="C98" s="36"/>
      <c r="D98" s="36"/>
      <c r="E98" s="36"/>
    </row>
    <row r="99" spans="1:5" ht="30" customHeight="1" x14ac:dyDescent="0.25">
      <c r="A99" s="41" t="s">
        <v>9</v>
      </c>
      <c r="B99" s="33" t="s">
        <v>94</v>
      </c>
      <c r="C99" s="34">
        <f>C100</f>
        <v>0</v>
      </c>
      <c r="D99" s="34">
        <f t="shared" ref="D99:E99" si="5">D100</f>
        <v>0</v>
      </c>
      <c r="E99" s="34">
        <f t="shared" si="5"/>
        <v>0</v>
      </c>
    </row>
    <row r="100" spans="1:5" ht="30" customHeight="1" x14ac:dyDescent="0.25">
      <c r="A100" s="9" t="s">
        <v>1</v>
      </c>
      <c r="B100" s="8" t="s">
        <v>95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 t="shared" ref="D101" si="6">D102+D103+D104</f>
        <v>0</v>
      </c>
      <c r="E101" s="51">
        <f t="shared" ref="E101" si="7">E102+E103+E104</f>
        <v>0</v>
      </c>
    </row>
    <row r="102" spans="1:5" ht="30" customHeight="1" x14ac:dyDescent="0.25">
      <c r="A102" s="9"/>
      <c r="B102" s="8" t="s">
        <v>97</v>
      </c>
      <c r="C102" s="36"/>
      <c r="D102" s="36"/>
      <c r="E102" s="36"/>
    </row>
    <row r="103" spans="1:5" ht="30" customHeight="1" x14ac:dyDescent="0.25">
      <c r="A103" s="9"/>
      <c r="B103" s="8" t="s">
        <v>98</v>
      </c>
      <c r="C103" s="36"/>
      <c r="D103" s="36"/>
      <c r="E103" s="36"/>
    </row>
    <row r="104" spans="1:5" ht="30" customHeight="1" x14ac:dyDescent="0.25">
      <c r="A104" s="9"/>
      <c r="B104" s="8" t="s">
        <v>99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 t="shared" ref="D105:E105" si="8">D106</f>
        <v>0</v>
      </c>
      <c r="E105" s="51">
        <f t="shared" si="8"/>
        <v>0</v>
      </c>
    </row>
    <row r="106" spans="1:5" ht="30" customHeight="1" x14ac:dyDescent="0.25">
      <c r="A106" s="39"/>
      <c r="B106" s="16" t="s">
        <v>101</v>
      </c>
      <c r="C106" s="36"/>
      <c r="D106" s="36"/>
      <c r="E106" s="36"/>
    </row>
    <row r="107" spans="1:5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 t="shared" ref="D107" si="9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148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 t="shared" ref="D109" si="10">D110+D111+D112+D113+D114+D115+D116+D117+D118+D119+D120+D121+D122+D123+D124+D125</f>
        <v>0</v>
      </c>
      <c r="E109" s="51">
        <f t="shared" ref="E109" si="11">E110+E111+E112+E113+E114+E115+E116+E117+E118+E119+E120+E121+E122+E123+E124+E125</f>
        <v>0</v>
      </c>
    </row>
    <row r="110" spans="1:5" ht="30" customHeight="1" x14ac:dyDescent="0.25">
      <c r="A110" s="9"/>
      <c r="B110" s="8" t="s">
        <v>103</v>
      </c>
      <c r="C110" s="36"/>
      <c r="D110" s="36"/>
      <c r="E110" s="36"/>
    </row>
    <row r="111" spans="1:5" ht="30" customHeight="1" x14ac:dyDescent="0.25">
      <c r="A111" s="9"/>
      <c r="B111" s="8" t="s">
        <v>104</v>
      </c>
      <c r="C111" s="36"/>
      <c r="D111" s="36"/>
      <c r="E111" s="36"/>
    </row>
    <row r="112" spans="1:5" ht="30" customHeight="1" x14ac:dyDescent="0.25">
      <c r="A112" s="9"/>
      <c r="B112" s="8" t="s">
        <v>105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106</v>
      </c>
      <c r="C113" s="36"/>
      <c r="D113" s="36"/>
      <c r="E113" s="36"/>
    </row>
    <row r="114" spans="1:5" ht="30" customHeight="1" x14ac:dyDescent="0.25">
      <c r="A114" s="9"/>
      <c r="B114" s="8" t="s">
        <v>107</v>
      </c>
      <c r="C114" s="36"/>
      <c r="D114" s="36"/>
      <c r="E114" s="36"/>
    </row>
    <row r="115" spans="1:5" ht="30" customHeight="1" x14ac:dyDescent="0.25">
      <c r="A115" s="9"/>
      <c r="B115" s="8" t="s">
        <v>108</v>
      </c>
      <c r="C115" s="36"/>
      <c r="D115" s="36"/>
      <c r="E115" s="36"/>
    </row>
    <row r="116" spans="1:5" ht="30" customHeight="1" x14ac:dyDescent="0.25">
      <c r="A116" s="9"/>
      <c r="B116" s="8" t="s">
        <v>109</v>
      </c>
      <c r="C116" s="36"/>
      <c r="D116" s="36"/>
      <c r="E116" s="36"/>
    </row>
    <row r="117" spans="1:5" ht="30" customHeight="1" x14ac:dyDescent="0.25">
      <c r="A117" s="9"/>
      <c r="B117" s="8" t="s">
        <v>110</v>
      </c>
      <c r="C117" s="36"/>
      <c r="D117" s="36"/>
      <c r="E117" s="36"/>
    </row>
    <row r="118" spans="1:5" ht="30" customHeight="1" x14ac:dyDescent="0.25">
      <c r="A118" s="9"/>
      <c r="B118" s="8" t="s">
        <v>111</v>
      </c>
      <c r="C118" s="36"/>
      <c r="D118" s="36"/>
      <c r="E118" s="36"/>
    </row>
    <row r="119" spans="1:5" ht="30" customHeight="1" x14ac:dyDescent="0.25">
      <c r="A119" s="9"/>
      <c r="B119" s="8" t="s">
        <v>112</v>
      </c>
      <c r="C119" s="36"/>
      <c r="D119" s="36"/>
      <c r="E119" s="36"/>
    </row>
    <row r="120" spans="1:5" ht="30" customHeight="1" x14ac:dyDescent="0.25">
      <c r="A120" s="9"/>
      <c r="B120" s="8" t="s">
        <v>113</v>
      </c>
      <c r="C120" s="36"/>
      <c r="D120" s="36"/>
      <c r="E120" s="36"/>
    </row>
    <row r="121" spans="1:5" ht="30" customHeight="1" x14ac:dyDescent="0.25">
      <c r="A121" s="9"/>
      <c r="B121" s="8" t="s">
        <v>114</v>
      </c>
      <c r="C121" s="36"/>
      <c r="D121" s="36"/>
      <c r="E121" s="36"/>
    </row>
    <row r="122" spans="1:5" ht="30" customHeight="1" x14ac:dyDescent="0.25">
      <c r="A122" s="9"/>
      <c r="B122" s="8" t="s">
        <v>115</v>
      </c>
      <c r="C122" s="36"/>
      <c r="D122" s="36"/>
      <c r="E122" s="36"/>
    </row>
    <row r="123" spans="1:5" ht="30" customHeight="1" x14ac:dyDescent="0.25">
      <c r="A123" s="9"/>
      <c r="B123" s="8" t="s">
        <v>116</v>
      </c>
      <c r="C123" s="36"/>
      <c r="D123" s="36"/>
      <c r="E123" s="36"/>
    </row>
    <row r="124" spans="1:5" ht="30" customHeight="1" x14ac:dyDescent="0.25">
      <c r="A124" s="9"/>
      <c r="B124" s="8" t="s">
        <v>117</v>
      </c>
      <c r="C124" s="36"/>
      <c r="D124" s="36"/>
      <c r="E124" s="36"/>
    </row>
    <row r="125" spans="1:5" ht="30" customHeight="1" x14ac:dyDescent="0.25">
      <c r="A125" s="9"/>
      <c r="B125" s="8" t="s">
        <v>118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120</v>
      </c>
      <c r="C127" s="36"/>
      <c r="D127" s="36"/>
      <c r="E127" s="36"/>
    </row>
    <row r="128" spans="1:5" ht="30" customHeight="1" x14ac:dyDescent="0.25">
      <c r="A128" s="9"/>
      <c r="B128" s="8" t="s">
        <v>121</v>
      </c>
      <c r="C128" s="36"/>
      <c r="D128" s="36"/>
      <c r="E128" s="36"/>
    </row>
    <row r="129" spans="1:5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 t="shared" ref="D129" si="12">D130+D131+D132+D133</f>
        <v>0</v>
      </c>
      <c r="E129" s="56">
        <f t="shared" ref="E129" si="13">E130+E131+E132+E133</f>
        <v>0</v>
      </c>
    </row>
    <row r="130" spans="1:5" s="72" customFormat="1" ht="30" customHeight="1" x14ac:dyDescent="0.25">
      <c r="A130" s="44"/>
      <c r="B130" s="18" t="s">
        <v>123</v>
      </c>
      <c r="C130" s="36"/>
      <c r="D130" s="36"/>
      <c r="E130" s="36"/>
    </row>
    <row r="131" spans="1:5" ht="51" customHeight="1" x14ac:dyDescent="0.25">
      <c r="A131" s="9"/>
      <c r="B131" s="8" t="s">
        <v>124</v>
      </c>
      <c r="C131" s="36"/>
      <c r="D131" s="36"/>
      <c r="E131" s="36"/>
    </row>
    <row r="132" spans="1:5" ht="30" customHeight="1" x14ac:dyDescent="0.25">
      <c r="A132" s="9"/>
      <c r="B132" s="8" t="s">
        <v>125</v>
      </c>
      <c r="C132" s="36"/>
      <c r="D132" s="36"/>
      <c r="E132" s="36"/>
    </row>
    <row r="133" spans="1:5" ht="30" customHeight="1" x14ac:dyDescent="0.25">
      <c r="A133" s="9"/>
      <c r="B133" s="8" t="s">
        <v>126</v>
      </c>
      <c r="C133" s="36"/>
      <c r="D133" s="36"/>
      <c r="E133" s="36"/>
    </row>
    <row r="134" spans="1:5" s="74" customFormat="1" ht="30" customHeight="1" x14ac:dyDescent="0.25">
      <c r="A134" s="12" t="s">
        <v>27</v>
      </c>
      <c r="B134" s="22" t="s">
        <v>129</v>
      </c>
      <c r="C134" s="26">
        <f t="shared" ref="C134:D134" si="14">C9-C29</f>
        <v>0</v>
      </c>
      <c r="D134" s="26">
        <f t="shared" si="14"/>
        <v>0</v>
      </c>
      <c r="E134" s="26">
        <f t="shared" ref="E134" si="15">E9-E29</f>
        <v>0</v>
      </c>
    </row>
  </sheetData>
  <mergeCells count="11">
    <mergeCell ref="B4:D4"/>
    <mergeCell ref="A6:A8"/>
    <mergeCell ref="B6:B8"/>
    <mergeCell ref="C6:C8"/>
    <mergeCell ref="D6:D8"/>
    <mergeCell ref="E6:E8"/>
    <mergeCell ref="E26:E28"/>
    <mergeCell ref="A26:A28"/>
    <mergeCell ref="B26:B28"/>
    <mergeCell ref="C26:C28"/>
    <mergeCell ref="D26:D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4"/>
  <sheetViews>
    <sheetView topLeftCell="A105" workbookViewId="0">
      <selection activeCell="E107" sqref="E107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s="73" customFormat="1" x14ac:dyDescent="0.25">
      <c r="A1" s="10"/>
      <c r="B1" s="13"/>
      <c r="C1" s="23"/>
      <c r="D1" s="23"/>
      <c r="E1" s="23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141</v>
      </c>
      <c r="C3" s="25"/>
      <c r="D3" s="25"/>
      <c r="E3" s="25"/>
    </row>
    <row r="4" spans="1:5" s="75" customFormat="1" ht="15.75" x14ac:dyDescent="0.25">
      <c r="A4" s="66"/>
      <c r="B4" s="159" t="s">
        <v>142</v>
      </c>
      <c r="C4" s="159"/>
      <c r="D4" s="159"/>
      <c r="E4" s="67"/>
    </row>
    <row r="5" spans="1:5" s="73" customFormat="1" ht="15.75" x14ac:dyDescent="0.25">
      <c r="A5" s="1"/>
      <c r="B5" s="13"/>
      <c r="C5" s="23"/>
      <c r="D5" s="23"/>
      <c r="E5" s="23"/>
    </row>
    <row r="6" spans="1:5" s="73" customFormat="1" ht="15" customHeight="1" x14ac:dyDescent="0.25">
      <c r="A6" s="160" t="s">
        <v>1</v>
      </c>
      <c r="B6" s="163" t="s">
        <v>2</v>
      </c>
      <c r="C6" s="166" t="s">
        <v>143</v>
      </c>
      <c r="D6" s="166" t="s">
        <v>144</v>
      </c>
      <c r="E6" s="166" t="s">
        <v>140</v>
      </c>
    </row>
    <row r="7" spans="1:5" s="73" customFormat="1" ht="15" customHeight="1" x14ac:dyDescent="0.25">
      <c r="A7" s="161"/>
      <c r="B7" s="164"/>
      <c r="C7" s="167"/>
      <c r="D7" s="167"/>
      <c r="E7" s="167"/>
    </row>
    <row r="8" spans="1:5" s="73" customFormat="1" ht="25.5" customHeight="1" x14ac:dyDescent="0.25">
      <c r="A8" s="162"/>
      <c r="B8" s="165"/>
      <c r="C8" s="168"/>
      <c r="D8" s="168"/>
      <c r="E8" s="168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60" t="s">
        <v>1</v>
      </c>
      <c r="B26" s="175" t="s">
        <v>37</v>
      </c>
      <c r="C26" s="166" t="s">
        <v>143</v>
      </c>
      <c r="D26" s="166" t="s">
        <v>144</v>
      </c>
      <c r="E26" s="166" t="s">
        <v>140</v>
      </c>
    </row>
    <row r="27" spans="1:5" s="73" customFormat="1" ht="25.5" customHeight="1" x14ac:dyDescent="0.25">
      <c r="A27" s="161"/>
      <c r="B27" s="176"/>
      <c r="C27" s="167"/>
      <c r="D27" s="167"/>
      <c r="E27" s="167"/>
    </row>
    <row r="28" spans="1:5" s="73" customFormat="1" ht="30" hidden="1" customHeight="1" x14ac:dyDescent="0.25">
      <c r="A28" s="162"/>
      <c r="B28" s="177"/>
      <c r="C28" s="168"/>
      <c r="D28" s="168"/>
      <c r="E28" s="168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>E31+E48+E99+E101+E105+E109+E126+E129+E107</f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:E31" si="0">D32+D33+D34+D35+D36+D37+D38+D39+D40+D41+D42+D43+D44+D45+D46+D47</f>
        <v>0</v>
      </c>
      <c r="E31" s="51">
        <f t="shared" si="0"/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133</v>
      </c>
      <c r="C41" s="36"/>
      <c r="D41" s="36"/>
      <c r="E41" s="36"/>
    </row>
    <row r="42" spans="1:5" ht="30" customHeight="1" x14ac:dyDescent="0.25">
      <c r="A42" s="9"/>
      <c r="B42" s="8" t="s">
        <v>139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134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52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:E48" si="1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si="1"/>
        <v>0</v>
      </c>
    </row>
    <row r="49" spans="1:5" ht="30" customHeight="1" x14ac:dyDescent="0.25">
      <c r="A49" s="9"/>
      <c r="B49" s="8" t="s">
        <v>54</v>
      </c>
      <c r="C49" s="36"/>
      <c r="D49" s="36"/>
      <c r="E49" s="36"/>
    </row>
    <row r="50" spans="1:5" ht="30" customHeight="1" x14ac:dyDescent="0.25">
      <c r="A50" s="9"/>
      <c r="B50" s="8" t="s">
        <v>55</v>
      </c>
      <c r="C50" s="36"/>
      <c r="D50" s="36"/>
      <c r="E50" s="36"/>
    </row>
    <row r="51" spans="1:5" ht="30" customHeight="1" x14ac:dyDescent="0.25">
      <c r="A51" s="9"/>
      <c r="B51" s="8" t="s">
        <v>56</v>
      </c>
      <c r="C51" s="36"/>
      <c r="D51" s="36"/>
      <c r="E51" s="36"/>
    </row>
    <row r="52" spans="1:5" ht="30" customHeight="1" x14ac:dyDescent="0.25">
      <c r="A52" s="9"/>
      <c r="B52" s="8" t="s">
        <v>57</v>
      </c>
      <c r="C52" s="36"/>
      <c r="D52" s="36"/>
      <c r="E52" s="36"/>
    </row>
    <row r="53" spans="1:5" s="79" customFormat="1" ht="30" customHeight="1" x14ac:dyDescent="0.25">
      <c r="A53" s="9"/>
      <c r="B53" s="8" t="s">
        <v>58</v>
      </c>
      <c r="C53" s="36"/>
      <c r="D53" s="36"/>
      <c r="E53" s="36"/>
    </row>
    <row r="54" spans="1:5" ht="30" customHeight="1" x14ac:dyDescent="0.25">
      <c r="A54" s="9"/>
      <c r="B54" s="8" t="s">
        <v>59</v>
      </c>
      <c r="C54" s="36"/>
      <c r="D54" s="36"/>
      <c r="E54" s="36"/>
    </row>
    <row r="55" spans="1:5" ht="30" customHeight="1" x14ac:dyDescent="0.25">
      <c r="A55" s="9"/>
      <c r="B55" s="19" t="s">
        <v>60</v>
      </c>
      <c r="C55" s="36"/>
      <c r="D55" s="36"/>
      <c r="E55" s="36"/>
    </row>
    <row r="56" spans="1:5" ht="30" customHeight="1" x14ac:dyDescent="0.25">
      <c r="A56" s="9"/>
      <c r="B56" s="19" t="s">
        <v>61</v>
      </c>
      <c r="C56" s="36"/>
      <c r="D56" s="36"/>
      <c r="E56" s="36"/>
    </row>
    <row r="57" spans="1:5" ht="30" customHeight="1" x14ac:dyDescent="0.25">
      <c r="A57" s="9"/>
      <c r="B57" s="8" t="s">
        <v>62</v>
      </c>
      <c r="C57" s="36"/>
      <c r="D57" s="36"/>
      <c r="E57" s="36"/>
    </row>
    <row r="58" spans="1:5" ht="30" customHeight="1" x14ac:dyDescent="0.25">
      <c r="A58" s="9"/>
      <c r="B58" s="8" t="s">
        <v>135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63</v>
      </c>
      <c r="C60" s="36"/>
      <c r="D60" s="36"/>
      <c r="E60" s="36"/>
    </row>
    <row r="61" spans="1:5" ht="30" customHeight="1" x14ac:dyDescent="0.25">
      <c r="A61" s="9"/>
      <c r="B61" s="8" t="s">
        <v>64</v>
      </c>
      <c r="C61" s="36"/>
      <c r="D61" s="36"/>
      <c r="E61" s="36"/>
    </row>
    <row r="62" spans="1:5" ht="30" customHeight="1" x14ac:dyDescent="0.25">
      <c r="A62" s="9"/>
      <c r="B62" s="8" t="s">
        <v>65</v>
      </c>
      <c r="C62" s="36"/>
      <c r="D62" s="36"/>
      <c r="E62" s="36"/>
    </row>
    <row r="63" spans="1:5" ht="30" customHeight="1" x14ac:dyDescent="0.25">
      <c r="A63" s="9"/>
      <c r="B63" s="8" t="s">
        <v>136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66</v>
      </c>
      <c r="C65" s="36"/>
      <c r="D65" s="36"/>
      <c r="E65" s="36"/>
    </row>
    <row r="66" spans="1:5" ht="30" customHeight="1" x14ac:dyDescent="0.25">
      <c r="A66" s="9"/>
      <c r="B66" s="8" t="s">
        <v>67</v>
      </c>
      <c r="C66" s="36"/>
      <c r="D66" s="36"/>
      <c r="E66" s="36"/>
    </row>
    <row r="67" spans="1:5" ht="30" customHeight="1" x14ac:dyDescent="0.25">
      <c r="A67" s="9"/>
      <c r="B67" s="8" t="s">
        <v>68</v>
      </c>
      <c r="C67" s="36"/>
      <c r="D67" s="36"/>
      <c r="E67" s="36"/>
    </row>
    <row r="68" spans="1:5" ht="30" customHeight="1" x14ac:dyDescent="0.25">
      <c r="A68" s="9"/>
      <c r="B68" s="8" t="s">
        <v>137</v>
      </c>
      <c r="C68" s="36"/>
      <c r="D68" s="36"/>
      <c r="E68" s="36"/>
    </row>
    <row r="69" spans="1:5" ht="30" customHeight="1" x14ac:dyDescent="0.25">
      <c r="A69" s="9"/>
      <c r="B69" s="8" t="s">
        <v>138</v>
      </c>
      <c r="C69" s="36"/>
      <c r="D69" s="36"/>
      <c r="E69" s="36"/>
    </row>
    <row r="70" spans="1:5" ht="30" customHeight="1" x14ac:dyDescent="0.25">
      <c r="A70" s="9"/>
      <c r="B70" s="8" t="s">
        <v>69</v>
      </c>
      <c r="C70" s="36"/>
      <c r="D70" s="36"/>
      <c r="E70" s="36"/>
    </row>
    <row r="71" spans="1:5" ht="30" customHeight="1" x14ac:dyDescent="0.25">
      <c r="A71" s="9"/>
      <c r="B71" s="8" t="s">
        <v>70</v>
      </c>
      <c r="C71" s="36"/>
      <c r="D71" s="36"/>
      <c r="E71" s="36"/>
    </row>
    <row r="72" spans="1:5" ht="30" customHeight="1" x14ac:dyDescent="0.25">
      <c r="A72" s="9"/>
      <c r="B72" s="8" t="s">
        <v>71</v>
      </c>
      <c r="C72" s="36"/>
      <c r="D72" s="36"/>
      <c r="E72" s="36"/>
    </row>
    <row r="73" spans="1:5" ht="30" customHeight="1" x14ac:dyDescent="0.25">
      <c r="A73" s="9"/>
      <c r="B73" s="8" t="s">
        <v>72</v>
      </c>
      <c r="C73" s="36"/>
      <c r="D73" s="36"/>
      <c r="E73" s="36"/>
    </row>
    <row r="74" spans="1:5" ht="30" customHeight="1" x14ac:dyDescent="0.25">
      <c r="A74" s="9"/>
      <c r="B74" s="8" t="s">
        <v>73</v>
      </c>
      <c r="C74" s="36"/>
      <c r="D74" s="36"/>
      <c r="E74" s="36"/>
    </row>
    <row r="75" spans="1:5" ht="30" customHeight="1" x14ac:dyDescent="0.25">
      <c r="A75" s="9"/>
      <c r="B75" s="8" t="s">
        <v>74</v>
      </c>
      <c r="C75" s="36"/>
      <c r="D75" s="36"/>
      <c r="E75" s="36"/>
    </row>
    <row r="76" spans="1:5" ht="30" customHeight="1" x14ac:dyDescent="0.25">
      <c r="A76" s="9"/>
      <c r="B76" s="8" t="s">
        <v>75</v>
      </c>
      <c r="C76" s="36"/>
      <c r="D76" s="36"/>
      <c r="E76" s="36"/>
    </row>
    <row r="77" spans="1:5" ht="30" customHeight="1" x14ac:dyDescent="0.25">
      <c r="A77" s="9"/>
      <c r="B77" s="8" t="s">
        <v>76</v>
      </c>
      <c r="C77" s="36"/>
      <c r="D77" s="36"/>
      <c r="E77" s="36"/>
    </row>
    <row r="78" spans="1:5" ht="30" customHeight="1" x14ac:dyDescent="0.25">
      <c r="A78" s="9"/>
      <c r="B78" s="8" t="s">
        <v>77</v>
      </c>
      <c r="C78" s="36"/>
      <c r="D78" s="36"/>
      <c r="E78" s="36"/>
    </row>
    <row r="79" spans="1:5" ht="36.75" customHeight="1" x14ac:dyDescent="0.25">
      <c r="A79" s="9"/>
      <c r="B79" s="8" t="s">
        <v>78</v>
      </c>
      <c r="C79" s="36"/>
      <c r="D79" s="36"/>
      <c r="E79" s="36"/>
    </row>
    <row r="80" spans="1:5" ht="30" customHeight="1" x14ac:dyDescent="0.25">
      <c r="A80" s="9"/>
      <c r="B80" s="8" t="s">
        <v>79</v>
      </c>
      <c r="C80" s="36"/>
      <c r="D80" s="36"/>
      <c r="E80" s="36"/>
    </row>
    <row r="81" spans="1:5" ht="30" customHeight="1" x14ac:dyDescent="0.25">
      <c r="A81" s="9"/>
      <c r="B81" s="8" t="s">
        <v>80</v>
      </c>
      <c r="C81" s="36"/>
      <c r="D81" s="36"/>
      <c r="E81" s="36"/>
    </row>
    <row r="82" spans="1:5" ht="30" customHeight="1" x14ac:dyDescent="0.25">
      <c r="A82" s="9"/>
      <c r="B82" s="8" t="s">
        <v>81</v>
      </c>
      <c r="C82" s="36"/>
      <c r="D82" s="36"/>
      <c r="E82" s="36"/>
    </row>
    <row r="83" spans="1:5" ht="30" customHeight="1" x14ac:dyDescent="0.25">
      <c r="A83" s="9"/>
      <c r="B83" s="8" t="s">
        <v>82</v>
      </c>
      <c r="C83" s="36"/>
      <c r="D83" s="36"/>
      <c r="E83" s="36"/>
    </row>
    <row r="84" spans="1:5" ht="30" customHeight="1" x14ac:dyDescent="0.25">
      <c r="A84" s="9"/>
      <c r="B84" s="8" t="s">
        <v>83</v>
      </c>
      <c r="C84" s="36"/>
      <c r="D84" s="36"/>
      <c r="E84" s="36"/>
    </row>
    <row r="85" spans="1:5" ht="30" customHeight="1" x14ac:dyDescent="0.25">
      <c r="A85" s="9"/>
      <c r="B85" s="8" t="s">
        <v>84</v>
      </c>
      <c r="C85" s="36"/>
      <c r="D85" s="36"/>
      <c r="E85" s="36"/>
    </row>
    <row r="86" spans="1:5" ht="30" customHeight="1" x14ac:dyDescent="0.25">
      <c r="A86" s="9"/>
      <c r="B86" s="8" t="s">
        <v>85</v>
      </c>
      <c r="C86" s="36"/>
      <c r="D86" s="36"/>
      <c r="E86" s="36"/>
    </row>
    <row r="87" spans="1:5" ht="30" customHeight="1" x14ac:dyDescent="0.25">
      <c r="A87" s="9"/>
      <c r="B87" s="8" t="s">
        <v>131</v>
      </c>
      <c r="C87" s="36"/>
      <c r="D87" s="36"/>
      <c r="E87" s="36"/>
    </row>
    <row r="88" spans="1:5" ht="30" customHeight="1" x14ac:dyDescent="0.25">
      <c r="A88" s="9"/>
      <c r="B88" s="8" t="s">
        <v>86</v>
      </c>
      <c r="C88" s="36"/>
      <c r="D88" s="36"/>
      <c r="E88" s="36"/>
    </row>
    <row r="89" spans="1:5" ht="30" customHeight="1" x14ac:dyDescent="0.25">
      <c r="A89" s="9"/>
      <c r="B89" s="8" t="s">
        <v>87</v>
      </c>
      <c r="C89" s="36"/>
      <c r="D89" s="36"/>
      <c r="E89" s="36"/>
    </row>
    <row r="90" spans="1:5" ht="30" customHeight="1" x14ac:dyDescent="0.25">
      <c r="A90" s="9"/>
      <c r="B90" s="8" t="s">
        <v>88</v>
      </c>
      <c r="C90" s="36"/>
      <c r="D90" s="36"/>
      <c r="E90" s="36"/>
    </row>
    <row r="91" spans="1:5" ht="30" customHeight="1" x14ac:dyDescent="0.25">
      <c r="A91" s="9"/>
      <c r="B91" s="8" t="s">
        <v>89</v>
      </c>
      <c r="C91" s="36"/>
      <c r="D91" s="36"/>
      <c r="E91" s="36"/>
    </row>
    <row r="92" spans="1:5" ht="30" customHeight="1" x14ac:dyDescent="0.25">
      <c r="A92" s="9"/>
      <c r="B92" s="8" t="s">
        <v>90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91</v>
      </c>
      <c r="C95" s="36"/>
      <c r="D95" s="36"/>
      <c r="E95" s="36"/>
    </row>
    <row r="96" spans="1:5" ht="30" customHeight="1" x14ac:dyDescent="0.25">
      <c r="A96" s="9"/>
      <c r="B96" s="8" t="s">
        <v>92</v>
      </c>
      <c r="C96" s="36"/>
      <c r="D96" s="36"/>
      <c r="E96" s="36"/>
    </row>
    <row r="97" spans="1:5" ht="30" customHeight="1" x14ac:dyDescent="0.25">
      <c r="A97" s="9"/>
      <c r="B97" s="8" t="s">
        <v>93</v>
      </c>
      <c r="C97" s="36"/>
      <c r="D97" s="36"/>
      <c r="E97" s="36"/>
    </row>
    <row r="98" spans="1:5" ht="30" customHeight="1" x14ac:dyDescent="0.25">
      <c r="A98" s="9"/>
      <c r="B98" s="8" t="s">
        <v>132</v>
      </c>
      <c r="C98" s="36"/>
      <c r="D98" s="36"/>
      <c r="E98" s="36"/>
    </row>
    <row r="99" spans="1:5" s="75" customFormat="1" ht="30" customHeight="1" x14ac:dyDescent="0.25">
      <c r="A99" s="49" t="s">
        <v>9</v>
      </c>
      <c r="B99" s="50" t="s">
        <v>94</v>
      </c>
      <c r="C99" s="51">
        <f>C100</f>
        <v>0</v>
      </c>
      <c r="D99" s="51">
        <f t="shared" ref="D99:E99" si="2">D100</f>
        <v>0</v>
      </c>
      <c r="E99" s="51">
        <f t="shared" si="2"/>
        <v>0</v>
      </c>
    </row>
    <row r="100" spans="1:5" ht="30" customHeight="1" x14ac:dyDescent="0.25">
      <c r="A100" s="9" t="s">
        <v>1</v>
      </c>
      <c r="B100" s="8" t="s">
        <v>95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 t="shared" ref="D101:E101" si="3">D102+D103+D104</f>
        <v>0</v>
      </c>
      <c r="E101" s="51">
        <f t="shared" si="3"/>
        <v>0</v>
      </c>
    </row>
    <row r="102" spans="1:5" s="79" customFormat="1" ht="30" customHeight="1" x14ac:dyDescent="0.25">
      <c r="A102" s="9"/>
      <c r="B102" s="8" t="s">
        <v>97</v>
      </c>
      <c r="C102" s="36"/>
      <c r="D102" s="36"/>
      <c r="E102" s="36"/>
    </row>
    <row r="103" spans="1:5" s="79" customFormat="1" ht="30" customHeight="1" x14ac:dyDescent="0.25">
      <c r="A103" s="9"/>
      <c r="B103" s="8" t="s">
        <v>98</v>
      </c>
      <c r="C103" s="36"/>
      <c r="D103" s="36"/>
      <c r="E103" s="36"/>
    </row>
    <row r="104" spans="1:5" s="79" customFormat="1" ht="30" customHeight="1" x14ac:dyDescent="0.25">
      <c r="A104" s="9"/>
      <c r="B104" s="8" t="s">
        <v>99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 t="shared" ref="D105:E105" si="4">D106</f>
        <v>0</v>
      </c>
      <c r="E105" s="51">
        <f t="shared" si="4"/>
        <v>0</v>
      </c>
    </row>
    <row r="106" spans="1:5" ht="30" customHeight="1" x14ac:dyDescent="0.25">
      <c r="A106" s="39"/>
      <c r="B106" s="16" t="s">
        <v>101</v>
      </c>
      <c r="C106" s="36">
        <v>0</v>
      </c>
      <c r="D106" s="36"/>
      <c r="E106" s="36"/>
    </row>
    <row r="107" spans="1:5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 t="shared" ref="D107" si="5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148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 t="shared" ref="D109:E109" si="6">D110+D111+D112+D113+D114+D115+D116+D117+D118+D119+D120+D121+D122+D123+D124+D125</f>
        <v>0</v>
      </c>
      <c r="E109" s="51">
        <f t="shared" si="6"/>
        <v>0</v>
      </c>
    </row>
    <row r="110" spans="1:5" ht="30" customHeight="1" x14ac:dyDescent="0.25">
      <c r="A110" s="9"/>
      <c r="B110" s="8" t="s">
        <v>103</v>
      </c>
      <c r="C110" s="36"/>
      <c r="D110" s="36"/>
      <c r="E110" s="36"/>
    </row>
    <row r="111" spans="1:5" ht="30" customHeight="1" x14ac:dyDescent="0.25">
      <c r="A111" s="9"/>
      <c r="B111" s="8" t="s">
        <v>104</v>
      </c>
      <c r="C111" s="36"/>
      <c r="D111" s="36"/>
      <c r="E111" s="36"/>
    </row>
    <row r="112" spans="1:5" ht="30" customHeight="1" x14ac:dyDescent="0.25">
      <c r="A112" s="9"/>
      <c r="B112" s="8" t="s">
        <v>105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106</v>
      </c>
      <c r="C113" s="36"/>
      <c r="D113" s="36"/>
      <c r="E113" s="36"/>
    </row>
    <row r="114" spans="1:5" ht="30" customHeight="1" x14ac:dyDescent="0.25">
      <c r="A114" s="9"/>
      <c r="B114" s="8" t="s">
        <v>107</v>
      </c>
      <c r="C114" s="36"/>
      <c r="D114" s="36"/>
      <c r="E114" s="36"/>
    </row>
    <row r="115" spans="1:5" ht="30" customHeight="1" x14ac:dyDescent="0.25">
      <c r="A115" s="9"/>
      <c r="B115" s="8" t="s">
        <v>108</v>
      </c>
      <c r="C115" s="36"/>
      <c r="D115" s="36"/>
      <c r="E115" s="36"/>
    </row>
    <row r="116" spans="1:5" ht="30" customHeight="1" x14ac:dyDescent="0.25">
      <c r="A116" s="9"/>
      <c r="B116" s="8" t="s">
        <v>109</v>
      </c>
      <c r="C116" s="36"/>
      <c r="D116" s="36"/>
      <c r="E116" s="36"/>
    </row>
    <row r="117" spans="1:5" ht="30" customHeight="1" x14ac:dyDescent="0.25">
      <c r="A117" s="9"/>
      <c r="B117" s="8" t="s">
        <v>110</v>
      </c>
      <c r="C117" s="36"/>
      <c r="D117" s="36"/>
      <c r="E117" s="36"/>
    </row>
    <row r="118" spans="1:5" ht="30" customHeight="1" x14ac:dyDescent="0.25">
      <c r="A118" s="9"/>
      <c r="B118" s="8" t="s">
        <v>111</v>
      </c>
      <c r="C118" s="36"/>
      <c r="D118" s="36"/>
      <c r="E118" s="36"/>
    </row>
    <row r="119" spans="1:5" ht="30" customHeight="1" x14ac:dyDescent="0.25">
      <c r="A119" s="9"/>
      <c r="B119" s="8" t="s">
        <v>112</v>
      </c>
      <c r="C119" s="36"/>
      <c r="D119" s="36"/>
      <c r="E119" s="36"/>
    </row>
    <row r="120" spans="1:5" ht="30" customHeight="1" x14ac:dyDescent="0.25">
      <c r="A120" s="9"/>
      <c r="B120" s="8" t="s">
        <v>113</v>
      </c>
      <c r="C120" s="36"/>
      <c r="D120" s="36"/>
      <c r="E120" s="36"/>
    </row>
    <row r="121" spans="1:5" ht="30" customHeight="1" x14ac:dyDescent="0.25">
      <c r="A121" s="9"/>
      <c r="B121" s="8" t="s">
        <v>114</v>
      </c>
      <c r="C121" s="36"/>
      <c r="D121" s="36"/>
      <c r="E121" s="36"/>
    </row>
    <row r="122" spans="1:5" ht="30" customHeight="1" x14ac:dyDescent="0.25">
      <c r="A122" s="9"/>
      <c r="B122" s="8" t="s">
        <v>115</v>
      </c>
      <c r="C122" s="36"/>
      <c r="D122" s="36"/>
      <c r="E122" s="36"/>
    </row>
    <row r="123" spans="1:5" ht="30" customHeight="1" x14ac:dyDescent="0.25">
      <c r="A123" s="9"/>
      <c r="B123" s="8" t="s">
        <v>116</v>
      </c>
      <c r="C123" s="36"/>
      <c r="D123" s="36"/>
      <c r="E123" s="36"/>
    </row>
    <row r="124" spans="1:5" ht="30" customHeight="1" x14ac:dyDescent="0.25">
      <c r="A124" s="9"/>
      <c r="B124" s="8" t="s">
        <v>117</v>
      </c>
      <c r="C124" s="36"/>
      <c r="D124" s="36"/>
      <c r="E124" s="36"/>
    </row>
    <row r="125" spans="1:5" ht="30" customHeight="1" x14ac:dyDescent="0.25">
      <c r="A125" s="9"/>
      <c r="B125" s="8" t="s">
        <v>118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120</v>
      </c>
      <c r="C127" s="36">
        <v>0</v>
      </c>
      <c r="D127" s="36"/>
      <c r="E127" s="36"/>
    </row>
    <row r="128" spans="1:5" ht="30" customHeight="1" x14ac:dyDescent="0.25">
      <c r="A128" s="9"/>
      <c r="B128" s="8" t="s">
        <v>121</v>
      </c>
      <c r="C128" s="36">
        <v>0</v>
      </c>
      <c r="D128" s="36"/>
      <c r="E128" s="36"/>
    </row>
    <row r="129" spans="1:5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 t="shared" ref="D129" si="7">D130+D131+D132+D133</f>
        <v>0</v>
      </c>
      <c r="E129" s="56">
        <f t="shared" ref="E129" si="8">E130+E131+E132+E133</f>
        <v>0</v>
      </c>
    </row>
    <row r="130" spans="1:5" s="72" customFormat="1" ht="30" customHeight="1" x14ac:dyDescent="0.25">
      <c r="A130" s="44"/>
      <c r="B130" s="18" t="s">
        <v>123</v>
      </c>
      <c r="C130" s="36">
        <v>0</v>
      </c>
      <c r="D130" s="36"/>
      <c r="E130" s="36"/>
    </row>
    <row r="131" spans="1:5" ht="51" customHeight="1" x14ac:dyDescent="0.25">
      <c r="A131" s="9"/>
      <c r="B131" s="8" t="s">
        <v>124</v>
      </c>
      <c r="C131" s="36">
        <v>0</v>
      </c>
      <c r="D131" s="36"/>
      <c r="E131" s="36"/>
    </row>
    <row r="132" spans="1:5" ht="30" customHeight="1" x14ac:dyDescent="0.25">
      <c r="A132" s="9"/>
      <c r="B132" s="8" t="s">
        <v>125</v>
      </c>
      <c r="C132" s="36">
        <v>0</v>
      </c>
      <c r="D132" s="36"/>
      <c r="E132" s="36"/>
    </row>
    <row r="133" spans="1:5" ht="30" customHeight="1" x14ac:dyDescent="0.25">
      <c r="A133" s="9"/>
      <c r="B133" s="8" t="s">
        <v>126</v>
      </c>
      <c r="C133" s="36">
        <v>0</v>
      </c>
      <c r="D133" s="36"/>
      <c r="E133" s="36"/>
    </row>
    <row r="134" spans="1:5" s="74" customFormat="1" ht="30" customHeight="1" x14ac:dyDescent="0.25">
      <c r="A134" s="12" t="s">
        <v>27</v>
      </c>
      <c r="B134" s="22" t="s">
        <v>128</v>
      </c>
      <c r="C134" s="26">
        <f t="shared" ref="C134:D134" si="9">C9-C29</f>
        <v>0</v>
      </c>
      <c r="D134" s="26">
        <f t="shared" si="9"/>
        <v>0</v>
      </c>
      <c r="E134" s="26">
        <f t="shared" ref="E134" si="10">E9-E29</f>
        <v>0</v>
      </c>
    </row>
  </sheetData>
  <mergeCells count="11">
    <mergeCell ref="B4:D4"/>
    <mergeCell ref="A6:A8"/>
    <mergeCell ref="B6:B8"/>
    <mergeCell ref="C6:C8"/>
    <mergeCell ref="D6:D8"/>
    <mergeCell ref="E6:E8"/>
    <mergeCell ref="E26:E28"/>
    <mergeCell ref="A26:A28"/>
    <mergeCell ref="B26:B28"/>
    <mergeCell ref="C26:C28"/>
    <mergeCell ref="D26:D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SVI ODJELI</vt:lpstr>
      <vt:lpstr>01 -OPĆI</vt:lpstr>
      <vt:lpstr>02- KOMUNALNI</vt:lpstr>
      <vt:lpstr>03-SMEĆE</vt:lpstr>
      <vt:lpstr>04-H.G.I.</vt:lpstr>
      <vt:lpstr>ZBROJ 02 I 04</vt:lpstr>
      <vt:lpstr>05-IGRALIŠTA</vt:lpstr>
      <vt:lpstr>08-PREFAKTURIRATI ALBANEŽ</vt:lpstr>
      <vt:lpstr>04-PROMIDŽBA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2023-03-21T11:56:11Z</cp:lastPrinted>
  <dcterms:created xsi:type="dcterms:W3CDTF">2017-03-13T08:53:27Z</dcterms:created>
  <dcterms:modified xsi:type="dcterms:W3CDTF">2023-06-14T09:35:59Z</dcterms:modified>
</cp:coreProperties>
</file>